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585" activeTab="1"/>
  </bookViews>
  <sheets>
    <sheet name="Бюджет розвитку " sheetId="1" r:id="rId1"/>
    <sheet name="Загальний фонд" sheetId="2" r:id="rId2"/>
  </sheets>
  <definedNames>
    <definedName name="_xlnm.Print_Area" localSheetId="0">'Бюджет розвитку '!$A$1:$F$436</definedName>
    <definedName name="_xlnm.Print_Area" localSheetId="1">'Загальний фонд'!$A$1:$E$807</definedName>
  </definedNames>
  <calcPr fullCalcOnLoad="1"/>
</workbook>
</file>

<file path=xl/sharedStrings.xml><?xml version="1.0" encoding="utf-8"?>
<sst xmlns="http://schemas.openxmlformats.org/spreadsheetml/2006/main" count="2233" uniqueCount="1502">
  <si>
    <t>проектно-вишукувальні роботи з інженерної геології Кап рем В КорБК;Дог 255 01.11.16 Акт 549 01.11.16;безПДВ.</t>
  </si>
  <si>
    <t xml:space="preserve">Упркультури 510               
ТОВ Геосервіс                 </t>
  </si>
  <si>
    <t>Дитяча музична школа № 5</t>
  </si>
  <si>
    <t>проект-кошторис документ роб проект кап рем дмш5;Дог 586-П-16  01.12.16 Р/ф СФ-0000165 Акт ОУ-0000160 20.12.16;ПДВ-5551,29.</t>
  </si>
  <si>
    <t xml:space="preserve">Упркультури  204БР            
ТОВ Миколаївкомундорпроект    </t>
  </si>
  <si>
    <t>Дитяча музична школа № 1</t>
  </si>
  <si>
    <t>110205;3132;розробка проект-кошторис документ роб проект кап рем дмш1;Дог 565-П-16 01.12.16 Акт ОУ-0000095 05.12.16;ПДВ-4344,74.</t>
  </si>
  <si>
    <r>
      <t xml:space="preserve">Капітальний ремонт стелі та сцени глядачевої зали та заміна вікон (48 од.) будівлі Кульбакінського будинку культури по вул. Райдужна,38 в т.ч. виготовлення проектно-кошторисної документації та експертиза. </t>
    </r>
    <r>
      <rPr>
        <b/>
        <sz val="12"/>
        <rFont val="Times New Roman"/>
        <family val="1"/>
      </rPr>
      <t xml:space="preserve">(Перехідний об'єкт)  </t>
    </r>
    <r>
      <rPr>
        <sz val="12"/>
        <rFont val="Times New Roman"/>
        <family val="1"/>
      </rPr>
      <t xml:space="preserve">      </t>
    </r>
  </si>
  <si>
    <t>КТКВК 010116 " Органи місцевого самоврядування"</t>
  </si>
  <si>
    <t>Управління з питань культури та охорони культурної спадщини Миколаївської міської ради</t>
  </si>
  <si>
    <t>Кондиціонер Leberg Tiara LBS-TBR13/LBU-TBR13. 1 шт.</t>
  </si>
  <si>
    <t>ТОВ Альтерклімат</t>
  </si>
  <si>
    <t>Цифровий фотоапарат Panasonic Lumix DMC-FZ300 (DMC-FZ300EEK). 1 шт.</t>
  </si>
  <si>
    <t>ФОП Паралєва Л А</t>
  </si>
  <si>
    <t>Планшет Toshiba Satellite. 2 шт.</t>
  </si>
  <si>
    <t>ФОП Мирончук В П</t>
  </si>
  <si>
    <t>Персональний комп'ютер Impression P+. 2 шт.</t>
  </si>
  <si>
    <t>ТОВ НовігаторКорпорейшн</t>
  </si>
  <si>
    <t>Комплект меблів для керівника, 2 шт.</t>
  </si>
  <si>
    <t>ФОП Танцура Є О</t>
  </si>
  <si>
    <t>Комплект меблів для керівника, 3 шт.</t>
  </si>
  <si>
    <t>КТКВК 110204 "Палаци і будинки культури, клуби та інші заклади"</t>
  </si>
  <si>
    <t>Сценічний підвісний мікрофон. 2 шт.</t>
  </si>
  <si>
    <t>ФОП Сущенко ВП</t>
  </si>
  <si>
    <t>Баян тульский концертнй. 1 шт.</t>
  </si>
  <si>
    <t>Световой прибор LedPar64. 4 шт.</t>
  </si>
  <si>
    <t>ФОП Гордійчук ТІ</t>
  </si>
  <si>
    <t>USB контроллер управления светом. 1 шт.</t>
  </si>
  <si>
    <t>Прилад освітлювальний світодіодний LedPar. 8 шт.</t>
  </si>
  <si>
    <t>Прилад освітлювальний світодіодний MovingHead. 2 шт.</t>
  </si>
  <si>
    <t>Комплект звукопідсилювання: - кросовер Behringer CX2310; - підсилювач Behringer  NU6000; - компресор-лімітер Behringer  MDX2600. 1 шт.</t>
  </si>
  <si>
    <t>ФОП Мельчуцький І М</t>
  </si>
  <si>
    <t>Гарнітурні (наголовні) мікрофони (к-т) Proel WM600H. 2 шт.</t>
  </si>
  <si>
    <t>Прилад освітлювальний LedPar. 2 шт.</t>
  </si>
  <si>
    <t>Прилад освітлювальний LedPar. 4 шт.</t>
  </si>
  <si>
    <t>Проектор мультимедійний  OPTOMA X600. 1 шт.</t>
  </si>
  <si>
    <t>Мультикор Roxtone 20 метрів.1 шт.</t>
  </si>
  <si>
    <t>Пульт мікшерний цифровий QSC TM8. 1 шт.</t>
  </si>
  <si>
    <t>Акустичні колонки Mag Z-155A. 2 шт.</t>
  </si>
  <si>
    <t>Моніторні акустичні колонки активні Stagg PMS12A. 2 шт.</t>
  </si>
  <si>
    <t>Малокориниський будинок культури</t>
  </si>
  <si>
    <t>Радіосистема на 4 мікрофонах Ibiza UHF20 (в комплекті). 1 шт.</t>
  </si>
  <si>
    <t>Проекційний екран AV SCREEN 3V120MTV. 1 шт.</t>
  </si>
  <si>
    <t>Акустична система ALTO TS212. 2 шт.</t>
  </si>
  <si>
    <t>Синтезатор Yamaha DGX-650. 1 шт.</t>
  </si>
  <si>
    <t>ТОВ Еквіп Хаб</t>
  </si>
  <si>
    <t>Проектор Epson EB-1776W. 1 шт.</t>
  </si>
  <si>
    <t>Матвіївський будинок культури</t>
  </si>
  <si>
    <t>Підсилювач звуку Behringer NU3000. 1 шт.</t>
  </si>
  <si>
    <t>Радіосистема з ручним мікрофоном AKG WMS40 Mini Vokal 2. 2 шт.</t>
  </si>
  <si>
    <t>Тернівський будинок культури</t>
  </si>
  <si>
    <t>Проектор OPTOMA EH331. 1 шт.</t>
  </si>
  <si>
    <t>ТОВ Техно Трейд Компані</t>
  </si>
  <si>
    <t>Відеокамера Panasonic HD1080 HC-W580. 1 шт.</t>
  </si>
  <si>
    <t>ФОП Шевель В В</t>
  </si>
  <si>
    <t>Радіосистема SHURE BLX24/EPG58. 4 шт.</t>
  </si>
  <si>
    <t>Сабвуфер Park Audio Delta 5115. 2 шт.</t>
  </si>
  <si>
    <t>Підсилювач Behringer NU3000. 1 шт.</t>
  </si>
  <si>
    <t>РАЗОМ КТКВК 110204</t>
  </si>
  <si>
    <t>КТКВК 110205 "Школи естетичного виховання"</t>
  </si>
  <si>
    <t>Акордеон 1/2 Hohner Bravo. 2 шт.</t>
  </si>
  <si>
    <t xml:space="preserve">ФОП Мельчуцький І М           </t>
  </si>
  <si>
    <t>Бандура Трембіта "Прима". 2 шт.</t>
  </si>
  <si>
    <t>Балалайка Hora Prima M-1080. 1 шт.</t>
  </si>
  <si>
    <t>Балалайка Hora Alto M-1081. 2 шт.</t>
  </si>
  <si>
    <t>Балалайка Hora Bass M-1082. 1 шт.</t>
  </si>
  <si>
    <t>Балалайка Hora C-Bass M-1083. 1 шт.</t>
  </si>
  <si>
    <t>Баян "Ера". 3 шт.</t>
  </si>
  <si>
    <t>Віолончель GewaPure 1/2. 1 шт.</t>
  </si>
  <si>
    <t>Віолончель GewaPure 1/4. 1 шт.</t>
  </si>
  <si>
    <t>Віолончель GewaPure 1/8. 1 шт.</t>
  </si>
  <si>
    <t>Домра Doff 302. 4 шт.</t>
  </si>
  <si>
    <t>Саксафон сопрано Gewa Roy Benson SS-302. 2 шт.</t>
  </si>
  <si>
    <t>Саксафон  альт Gewa Roy Benson АS-302. 2 шт.</t>
  </si>
  <si>
    <t>Саксафон  тенор Gewa Roy Benson ТS-302. 1 шт.</t>
  </si>
  <si>
    <t>Синтезатор Yamaha DGX-660. 1 шт.</t>
  </si>
  <si>
    <t>Флейта Gewa Roy Benson FL-402E. 3 шт.</t>
  </si>
  <si>
    <t>Ударна установка Yamaha GM0F5 (GM2F5). 1 шт.</t>
  </si>
  <si>
    <t>Бас-гітара ESP LTD B-55 (BK)</t>
  </si>
  <si>
    <t>Радіосистема SHURE BLX24/Beta58. 2 шт.</t>
  </si>
  <si>
    <t>Активна акустична система Mackie TH-12A. 2 шт.</t>
  </si>
  <si>
    <t>Дитяча музична школа № 2</t>
  </si>
  <si>
    <t>Кондиціонер SENSEI FTE-32TW. 2 шт.</t>
  </si>
  <si>
    <t>ФОП Аба В П</t>
  </si>
  <si>
    <t>Телевізор 3D LED LG 55UH8507. 1 шт.</t>
  </si>
  <si>
    <t>ФОП Назаров Є В</t>
  </si>
  <si>
    <t>Телевізор Samsung 43KU6000.2 шт.</t>
  </si>
  <si>
    <t>Микшер-усилитель Yamaha EMX5016CF. 1 шт.</t>
  </si>
  <si>
    <t>Цифрове піаніно Kurzweil Cup 120.1 шт.</t>
  </si>
  <si>
    <t>ФОП Сергадов Д М</t>
  </si>
  <si>
    <t>Віолончель Stentor 1108/C 3/4.1 шт.</t>
  </si>
  <si>
    <t>Віолончель Stentor 1108/E 1/2. 1 шт.</t>
  </si>
  <si>
    <t>Акустична система MAG Z250. 2 шт.</t>
  </si>
  <si>
    <t>Персональний комп'ютер Impression P+. 3 шт.</t>
  </si>
  <si>
    <t>Проектор ОРТОМА ЕН415. 1 шт.</t>
  </si>
  <si>
    <t>Проекційний екран Elite screens VMAX 120. 1 шт.</t>
  </si>
  <si>
    <t>Комплект меблів для кабінету керівника, 2 шт.</t>
  </si>
  <si>
    <t>ФОП Чепурін О А</t>
  </si>
  <si>
    <t>Мякий куточок для холу, 1 шт.</t>
  </si>
  <si>
    <t>Дитяча музична школа № 3</t>
  </si>
  <si>
    <t>Проектор "Орбіта". 1 шт.</t>
  </si>
  <si>
    <t>ФОП Дроздовський В.В.</t>
  </si>
  <si>
    <t>Цифрове піаніно Kurzweil Cup 120. 1 шт.</t>
  </si>
  <si>
    <t>Акустичний рояль Peael River GP148. 1 шт.</t>
  </si>
  <si>
    <t>Домра прима 4-х струнна Hora Prima M-1084. 5 шт.</t>
  </si>
  <si>
    <t>Персональний комп'ютер Impression P+. 1 шт.</t>
  </si>
  <si>
    <t>Інструментальний мікрофон SHURE BETA 98HC. 5 шт.</t>
  </si>
  <si>
    <t>Мікрофон SHURE BETA 87C. 3 шт.</t>
  </si>
  <si>
    <t>Кондиціонер MIDEA MSMA-09HRN1-Q ION. 1 шт.</t>
  </si>
  <si>
    <t>ФОП Шурков О М</t>
  </si>
  <si>
    <t>Бандура Трембіта "Львівянка". 2 шт.</t>
  </si>
  <si>
    <t>Інструментальний мікрофон SHURE SM81-LC. 4 шт.</t>
  </si>
  <si>
    <t>Проектор Optoma W341 в комплекті. 1 шт.</t>
  </si>
  <si>
    <t>Проекційний екран Screen 100/120". 1 шт.</t>
  </si>
  <si>
    <t>Дитяча музична школа № 6</t>
  </si>
  <si>
    <t>Мікшер Mackie Profx22 V2, 1 шт.</t>
  </si>
  <si>
    <t>СПД Шалахман В.Г.</t>
  </si>
  <si>
    <t>Кондиціонер 36 м2, 1 шт.</t>
  </si>
  <si>
    <t>ФОП Дегтяр Ю В</t>
  </si>
  <si>
    <t>Радіосистема з ручним мікрофоном AKG WMS40 Mini Vokal 2, 1 шт.</t>
  </si>
  <si>
    <t>Активна акустична система Mackie TH-12A, 1 шт.</t>
  </si>
  <si>
    <t>Цифрове піаніно Kurzweil Cup 120, 1 шт.</t>
  </si>
  <si>
    <t>Дитяча музична школа № 8</t>
  </si>
  <si>
    <t>Активна акустична система Mackie TH-12A, 2 шт.</t>
  </si>
  <si>
    <t>Цифрове піаніно Korg SP-170DX, 1 шт.</t>
  </si>
  <si>
    <t>Бас-гітара Squier by Fender Affinity Jazz Bass, 1 шт.</t>
  </si>
  <si>
    <t>Бандура Трембіта "Прима", 1 шт.</t>
  </si>
  <si>
    <t>Телевізор LG 43LH510V, 1 шт.</t>
  </si>
  <si>
    <t>Дитяча художня школа</t>
  </si>
  <si>
    <t>Активний мікшер BIG DS800MPS-USB, 1 шт.</t>
  </si>
  <si>
    <t>Піч муфельна СНО 60/1100, 1 шт.</t>
  </si>
  <si>
    <t>ТОВ Реагент-Альфа</t>
  </si>
  <si>
    <t>Телевизор Samsung UE49KU6500, 1 шт.</t>
  </si>
  <si>
    <t>ФОП Снісаренко Є М</t>
  </si>
  <si>
    <t>Цифровий фотоапарат Canon EOSM3, 1 шт.</t>
  </si>
  <si>
    <t>Персональний комп'ютер Impression P+, 1 шт.</t>
  </si>
  <si>
    <t>Акустична система BEHRINGER B2520 PRO, 2 шт.</t>
  </si>
  <si>
    <t>Радіосистема SHURE BLX24/ESM58, 2 шт.</t>
  </si>
  <si>
    <t>Комп'ютер-моноблок Dell Inspiron 3052,3 шт.</t>
  </si>
  <si>
    <t>ТОВ Сантарекс</t>
  </si>
  <si>
    <t>Проектор Optoma W341 в комплекті, 1 шт.</t>
  </si>
  <si>
    <t>Проекційний екран Screen 100/120", 1 шт.</t>
  </si>
  <si>
    <t>Перфоратор Makita HR2470T, 1 шт.</t>
  </si>
  <si>
    <t>ФОП Кривицька Л В</t>
  </si>
  <si>
    <t>Пилосмок Makita VC2012L, 1 шт.</t>
  </si>
  <si>
    <t>Дитяча  школа мистецтв № 1</t>
  </si>
  <si>
    <t>Кондиціонер MIDEA MSMA-12HRN1-Q ION, 1 шт.</t>
  </si>
  <si>
    <t>Баян "Агат", 1 шт.</t>
  </si>
  <si>
    <t>Телевізор LQ діагональ 43", 1 шт.</t>
  </si>
  <si>
    <t>ФОП Гордієнко І П</t>
  </si>
  <si>
    <t>Радіосистема SHURE BLX24/Beta58, 1 шт.</t>
  </si>
  <si>
    <t>Мікрофон SHURE BETA 87C, 1 шт.</t>
  </si>
  <si>
    <t>Дитяча  школа мистецтв № 3</t>
  </si>
  <si>
    <t>Саксофон тенор Gewa Roy Benson TS-302, 1 шт.</t>
  </si>
  <si>
    <t>Акордеон 3/4 Hohner Bravo, 1 шт.</t>
  </si>
  <si>
    <t>Придбано управлінням з питань культури та охорони культурної спадщини Миколаївської міської ради для закладів по необхідності</t>
  </si>
  <si>
    <t>Двухкамерний холодильник ATLANT XM 4011-100. 2 шт.</t>
  </si>
  <si>
    <t>Комп'ютер-моноблок Dell Inspiron 3052. 2 шт.</t>
  </si>
  <si>
    <t>Бас-гітара ESP LTD B-55 (BK). 1 шт.</t>
  </si>
  <si>
    <t>Баян Тула 209. 1 шт.</t>
  </si>
  <si>
    <t>Ялинка декоративна світлодіодна, 1 шт.</t>
  </si>
  <si>
    <t>ФОП Томілін А О</t>
  </si>
  <si>
    <t>Декорація святкова " Млин", 1 шт.</t>
  </si>
  <si>
    <t>ФОП Білий А О</t>
  </si>
  <si>
    <t>Декорація святкова " Ліхтар", 1 шт.</t>
  </si>
  <si>
    <t>Декорація святкова " Дуга", 1 шт.</t>
  </si>
  <si>
    <t>РАЗОМ КТКВК 110205</t>
  </si>
  <si>
    <t>КТКВК 110502 "Інші культурно-лсвітні заклади та заходи"</t>
  </si>
  <si>
    <t>Міський методичний центр та клубної роботи</t>
  </si>
  <si>
    <t>Мікшер "Ямаха", 1 шт.</t>
  </si>
  <si>
    <t>Кросовер ДВХ, 1 шт.</t>
  </si>
  <si>
    <t>РЭК-кейс, 1 шт.</t>
  </si>
  <si>
    <t>Electro-Voice ELX115 Акустична система, 4 шт.</t>
  </si>
  <si>
    <t>ФОП Бігун В.В.</t>
  </si>
  <si>
    <t>Electro-Voice ELX118 Акустична система, 4 шт.</t>
  </si>
  <si>
    <t>Shure BLX 24E/PG58 Радіосистема, 2 шт.</t>
  </si>
  <si>
    <t>Мультикор L 30m, 1 шт.</t>
  </si>
  <si>
    <t>Кейс для мікшерного пульту Gator GMix 19*21, 1 шт.</t>
  </si>
  <si>
    <t>Кондиціонер Leberg Tiara 08, 2 шт.</t>
  </si>
  <si>
    <t>ФОП Біляков Д О</t>
  </si>
  <si>
    <t>Радіосистема вокальна Shure GLXD24/SM58, 2 шт.</t>
  </si>
  <si>
    <t>Персональний комп'ютер Impression P+, 6 шт.</t>
  </si>
  <si>
    <t>Комплект меблів для керівника, 1 шт.</t>
  </si>
  <si>
    <t>Коврове покриття (4*10 кв.м.), 2 шт.</t>
  </si>
  <si>
    <t>ФОП Погорілий А О</t>
  </si>
  <si>
    <t>Муніципальний театр-студія для дітей юнацтва та молоді</t>
  </si>
  <si>
    <t>Цифрова радіосистема Shure GLXD24/SM58, 2 шт.</t>
  </si>
  <si>
    <t>Вокальний процесор TC-Helicon VoiceLive Touch2, 1 шт.</t>
  </si>
  <si>
    <t>Централізована бухгалтерія</t>
  </si>
  <si>
    <t>Файловий сервер Parus, 1 шт.</t>
  </si>
  <si>
    <t>Кондиціонер ERGO AC-0906CH, 6 шт.</t>
  </si>
  <si>
    <t>Кондиціонер FUJICO ACF-07AH, 1 шт.</t>
  </si>
  <si>
    <t>Охорона культурної спадщини</t>
  </si>
  <si>
    <t>Меморіальна дошка на обеліск Героям війни 1812 року в Аркасівському сквері, 1 шт.</t>
  </si>
  <si>
    <t>ТОВ Приватбуд</t>
  </si>
  <si>
    <t>Меморіальна дошка Крючкову Ю.С., 1 шт.</t>
  </si>
  <si>
    <t>ПП Скульптура</t>
  </si>
  <si>
    <t>Інші культурно-мистецькі заходи</t>
  </si>
  <si>
    <t>Банер-прапор міста Миколаєва 6*4 м., 1 шт.</t>
  </si>
  <si>
    <t>ФОП Щербиніна  Д.О.</t>
  </si>
  <si>
    <t>РАЗОМ КТКВК 110502</t>
  </si>
  <si>
    <t>Кульбакинський будинок культури</t>
  </si>
  <si>
    <t>Кульбакінський будинок культури по вул. Райдужна,38 в м.Миколаєві, ремонт стін та підлоги приміщення для гурткової роботи</t>
  </si>
  <si>
    <t xml:space="preserve">ТОВ Фаворит-Люкс    </t>
  </si>
  <si>
    <t>тех нагляд за  поточ рем внутр прим</t>
  </si>
  <si>
    <t>КПММР КапБуд</t>
  </si>
  <si>
    <t>Кульбакінський будинок культури по вул. Райдужна,38 в м.Миколаєві, Поточний  ремонт  підлоги в приміщеннях (каб. №3, кімната тех. персоналу) та водопровідної мережі</t>
  </si>
  <si>
    <t xml:space="preserve">ТОВ Фаворит-Люкс  </t>
  </si>
  <si>
    <t>Всього</t>
  </si>
  <si>
    <t>Малокорениський БК по вул. Клубна,10, ремонт стін, підлоги у приміщені гурткової роботи, заміна дверей аварійного виходу, ремонт 2-х тамбурів.</t>
  </si>
  <si>
    <t xml:space="preserve">ТОВ Фаворит-Люкс       </t>
  </si>
  <si>
    <t>Поточний ремонт фасаду (ремонт стінки парапету)</t>
  </si>
  <si>
    <t>ТОВ Фаворит-Люкс</t>
  </si>
  <si>
    <t>поточний ремонт віконних плетінь існуючих мет.пласт.вікон .блоків</t>
  </si>
  <si>
    <t xml:space="preserve">ТОВ ТЕД-Мастер                </t>
  </si>
  <si>
    <t>Поточний ремонт вигрібної ями (збільшення об'єму, ремонт труби водовідведення)</t>
  </si>
  <si>
    <t xml:space="preserve">ТОВ МП Комунальник            </t>
  </si>
  <si>
    <t>Великокориниський будинок культури</t>
  </si>
  <si>
    <t>Великокорениський будинок культури по вул. Миколаївських десантників, 4 м. Миколаїв. Поточний ремонт системи димовідведення автономного опалення.</t>
  </si>
  <si>
    <t xml:space="preserve">БМК Факел  </t>
  </si>
  <si>
    <t>Міський методичний центр</t>
  </si>
  <si>
    <t>Поточний ремонт стін в коридорі; стін та підлоги 2 –х кабінетів</t>
  </si>
  <si>
    <t xml:space="preserve">               
ТОВ Фаворит-Люкс              </t>
  </si>
  <si>
    <t>Муніципальний театр-студія</t>
  </si>
  <si>
    <t>Поточний ремонт підлоги у вестибюлі та класі вокалу</t>
  </si>
  <si>
    <t xml:space="preserve">               
ФОП Телиш О М                 </t>
  </si>
  <si>
    <t>Дитяча музична школа №1 по вул. Адміральська,11, Заміна вікон</t>
  </si>
  <si>
    <t>ТОВ "Бест Протекшн"</t>
  </si>
  <si>
    <t>Дитяча музична школа №3 по пр. Миру, 34-а , ремонт хорового класу в учбовому корпусі по пр. Миру, 34-а (ремонт стін та підлоги)</t>
  </si>
  <si>
    <t xml:space="preserve">ПБЛП Южинтерстрой            </t>
  </si>
  <si>
    <t>Дитяча художня школа  по вул. Спаська, 20 , ремонт коридору в учбовому корпусі (ремонт стін, стелі, внутрішньої електромережі, заміна дверей)</t>
  </si>
  <si>
    <t xml:space="preserve">ТОВ Південь-Будсервіс </t>
  </si>
  <si>
    <t xml:space="preserve">Дитяча школа мистецтв №1 </t>
  </si>
  <si>
    <t>тех нагляд за поточ рем внутр прим</t>
  </si>
  <si>
    <t>Дитяча школа мистецтв №1 по вул.  Тухачевского,17 , ремонт коридору, клас хореографії (ремонт сцени, стіни, стеля)</t>
  </si>
  <si>
    <t xml:space="preserve">ТОВ Фаворит-Люкс              </t>
  </si>
  <si>
    <t>Дитяча школа мистецтв № 3</t>
  </si>
  <si>
    <t>Дитяча школа мистецтв №3 по вул. Силікатна, 277 , ремонт коридору другого корпусу по вул. Силікатна, 277 (ремонт стін, стелі, підлоги, заміна дверей)</t>
  </si>
  <si>
    <t>ТОВ "Фаворіт-Люкс"</t>
  </si>
  <si>
    <t>Поточний ремонт внутрішніх приміщень  Дитячої школи мистецтв №3  за адресою: м. Миколаїв(Матвіївка), вул. Лісова,№5</t>
  </si>
  <si>
    <t>Управління з питань культури та охорони культурної спадщини Мколаївської міської ради</t>
  </si>
  <si>
    <t>телекомунаційні  послуги</t>
  </si>
  <si>
    <t xml:space="preserve">ПАТ"Укртелеком" </t>
  </si>
  <si>
    <t xml:space="preserve"> посл мереж Інтер</t>
  </si>
  <si>
    <t xml:space="preserve">ПП Дикий Сад                  </t>
  </si>
  <si>
    <t>Техобслуговув комп техніки</t>
  </si>
  <si>
    <t>ФОП Караяніді О Є</t>
  </si>
  <si>
    <t>Обслуг прогр "Бюджет міста"</t>
  </si>
  <si>
    <t>ТОВ ЦІАТ</t>
  </si>
  <si>
    <t>Налаштування ПЗ "Бюджет міста"</t>
  </si>
  <si>
    <t>Експлутаційні витрати</t>
  </si>
  <si>
    <t>ТОВ Центральний 1</t>
  </si>
  <si>
    <t>Оголошення "Вечірній Миколаїв"</t>
  </si>
  <si>
    <t>РГММР "Вечерний Николаев"</t>
  </si>
  <si>
    <t>Телесюжет КП ТРК "Март"</t>
  </si>
  <si>
    <t>КП ТРК Март</t>
  </si>
  <si>
    <t>профілакт обслугов спліт-системи кондиціювання</t>
  </si>
  <si>
    <t>Впровадження Інтернет-програми</t>
  </si>
  <si>
    <t>КП Міськінформобчисцентр</t>
  </si>
  <si>
    <t>тех обсл комп'ют</t>
  </si>
  <si>
    <t xml:space="preserve">ФОП Караяніді О Є    </t>
  </si>
  <si>
    <t>тех обслугов АПС</t>
  </si>
  <si>
    <t>ТОВ Вулкан-Н</t>
  </si>
  <si>
    <t>вивіз тпв</t>
  </si>
  <si>
    <t>КП Обрій ДКП</t>
  </si>
  <si>
    <t>послуги у сфері охорони громад порядку та безпеки</t>
  </si>
  <si>
    <t>Упр поліції охорониМ/обл</t>
  </si>
  <si>
    <t>цілодоб спостер протипожеж стан прим</t>
  </si>
  <si>
    <t xml:space="preserve">ТОВ Охрана      </t>
  </si>
  <si>
    <t>посл по збору перевез зберіган утилізації енергозбер  люмінесцент ламп</t>
  </si>
  <si>
    <t xml:space="preserve">ТОВ СЦ Утилізації   </t>
  </si>
  <si>
    <t>вогнезахисне оброб деревяних конструкцій</t>
  </si>
  <si>
    <t xml:space="preserve">ТОВ Сварог-К     </t>
  </si>
  <si>
    <t>тех обслуг вогнегасників</t>
  </si>
  <si>
    <t xml:space="preserve">СПД ФО Білов В М         </t>
  </si>
  <si>
    <t>створен інформ продукції  д/оформ стендів</t>
  </si>
  <si>
    <t>ПП Войхевич І.В.</t>
  </si>
  <si>
    <t>послуги по промивці гідравлічного випробув системи опалення</t>
  </si>
  <si>
    <t xml:space="preserve">КПДЄЗ Пілот </t>
  </si>
  <si>
    <t xml:space="preserve">заправка картриджів </t>
  </si>
  <si>
    <t>послуги звязку</t>
  </si>
  <si>
    <t>ТОВ Інтертелеком</t>
  </si>
  <si>
    <t>перевірка системи загазован  в топочн</t>
  </si>
  <si>
    <t xml:space="preserve">ФОП Келар В.О.                </t>
  </si>
  <si>
    <t>перезаряд вогнегас заміна бірки пломби реставрація головки вогнегасників</t>
  </si>
  <si>
    <t xml:space="preserve">ТОВ Искобар                   </t>
  </si>
  <si>
    <t>монтаж та пусконалагоджування системи сигналізації</t>
  </si>
  <si>
    <t xml:space="preserve">Упр поліції охорониМ/обл   </t>
  </si>
  <si>
    <t>провірка  димових  вентал. каналів</t>
  </si>
  <si>
    <t xml:space="preserve">ФОП Самборік І.А.             </t>
  </si>
  <si>
    <t>припин/віднов газопост на кінець початок опалювальн періоду</t>
  </si>
  <si>
    <t xml:space="preserve">ПАТ Миколаївгаз               </t>
  </si>
  <si>
    <t>тех.обслугов.зовніш.системи газопостачання</t>
  </si>
  <si>
    <t xml:space="preserve">техн обслуговування опалювального обладнання </t>
  </si>
  <si>
    <t xml:space="preserve">ФОП Паскальзнюк С В           </t>
  </si>
  <si>
    <t>перезарядження вогнегас</t>
  </si>
  <si>
    <t xml:space="preserve">ТОВ Искобар  </t>
  </si>
  <si>
    <t>поточ рем ноутбука</t>
  </si>
  <si>
    <t xml:space="preserve">посл охорони прим </t>
  </si>
  <si>
    <t xml:space="preserve">ФОП Бабков Ю.В.   </t>
  </si>
  <si>
    <t>тех. обсл утр сист.газопост котельні</t>
  </si>
  <si>
    <t xml:space="preserve">ТОВ "СКБ Теплотехніка"   </t>
  </si>
  <si>
    <t xml:space="preserve">ТОВ ВалАН </t>
  </si>
  <si>
    <t>обстеження ДВК</t>
  </si>
  <si>
    <t>ПАТ Миколаївгаз</t>
  </si>
  <si>
    <t xml:space="preserve">вивіз рідких відходів </t>
  </si>
  <si>
    <t>ТОВ Стефі</t>
  </si>
  <si>
    <t xml:space="preserve">перевір настрой повірка побутов газосигнал типу ГСБ СГБ ЛелекаСЗМ </t>
  </si>
  <si>
    <t>перезаряд вогнегас,заміна шлангів</t>
  </si>
  <si>
    <t xml:space="preserve">ТОВ Искобар       </t>
  </si>
  <si>
    <t>послуги по пасажир перевоз тран засоб</t>
  </si>
  <si>
    <t>ФОП Якубовський В.О.</t>
  </si>
  <si>
    <t xml:space="preserve">техн обслугов газопроводів та газ облад </t>
  </si>
  <si>
    <t>широкоформатний друк на оракалі</t>
  </si>
  <si>
    <t xml:space="preserve">ФОП Сухова Н.О. </t>
  </si>
  <si>
    <t>посл охорони</t>
  </si>
  <si>
    <t xml:space="preserve">ТОВ Южний Янтарь  </t>
  </si>
  <si>
    <t>тех. обсл утр сист.газопост котельн</t>
  </si>
  <si>
    <t xml:space="preserve">ТОВ "СКБ Теплотехніка"  </t>
  </si>
  <si>
    <t xml:space="preserve">КП МиколаївкомунтрансЦ </t>
  </si>
  <si>
    <t xml:space="preserve">ПП Сервіс-ТС </t>
  </si>
  <si>
    <t>оголошення</t>
  </si>
  <si>
    <t xml:space="preserve">РГММР "Вечерний Николаев"   </t>
  </si>
  <si>
    <t>оголошення в газеті</t>
  </si>
  <si>
    <t>ТОВ Охрана</t>
  </si>
  <si>
    <t>демонтаж,монтаж, опломбув приладів обліку газу</t>
  </si>
  <si>
    <t xml:space="preserve">ПАТ Миколаївгаз   </t>
  </si>
  <si>
    <t xml:space="preserve">ТОВ Стефі  </t>
  </si>
  <si>
    <t>викон науково -техн роб Обстежможлив доступу маломобільн груп населен</t>
  </si>
  <si>
    <t xml:space="preserve">ФОП Павлінов Ю О </t>
  </si>
  <si>
    <t>перевірка загальнообмінної вентиляції теплогенераторної</t>
  </si>
  <si>
    <t xml:space="preserve">перевірка настрой повірка побутов газосигнал типу ГСБ СГБ ЛелекаСЗМ </t>
  </si>
  <si>
    <t>повірка коректорів обєму газу</t>
  </si>
  <si>
    <t xml:space="preserve">ДП Микнауквиробцентр          </t>
  </si>
  <si>
    <t xml:space="preserve">тех обслуг кондиц дозаправка фреоном </t>
  </si>
  <si>
    <t xml:space="preserve">ФОП Молодих  Д.О.             </t>
  </si>
  <si>
    <t>техн обслугов зовн систем газопостач</t>
  </si>
  <si>
    <t xml:space="preserve">вивіз ТВП </t>
  </si>
  <si>
    <t xml:space="preserve">КП МиколаївкомунтрансЦ        </t>
  </si>
  <si>
    <t xml:space="preserve"> експл витрати </t>
  </si>
  <si>
    <t xml:space="preserve">ТОВ Центральний 1             </t>
  </si>
  <si>
    <t>тех.обслуг.газового котла</t>
  </si>
  <si>
    <t xml:space="preserve">ПП  СЦ Южная карта            </t>
  </si>
  <si>
    <t xml:space="preserve">страх в/нещасних випад на транспорті </t>
  </si>
  <si>
    <t xml:space="preserve">ПрАТ СК ПЗУ Україна           </t>
  </si>
  <si>
    <t xml:space="preserve">прийняття документів до відома </t>
  </si>
  <si>
    <t xml:space="preserve">Микміжбюртехінв               </t>
  </si>
  <si>
    <t xml:space="preserve"> посл мереж Інтер </t>
  </si>
  <si>
    <t>тех обслуг автомобіля/замін задніх торм колодок</t>
  </si>
  <si>
    <t xml:space="preserve">ФОП Мережко Д В               </t>
  </si>
  <si>
    <t>шиномонтаж автомобіля Nexia</t>
  </si>
  <si>
    <t>заправка картрид поточ рем картрид тех обсл. компют</t>
  </si>
  <si>
    <t xml:space="preserve">ФОП Караяніді О Є             </t>
  </si>
  <si>
    <t>утилізація люмінесцентних ламп</t>
  </si>
  <si>
    <t xml:space="preserve">ТОВ НВФ Екоцентр              </t>
  </si>
  <si>
    <t>страхув цивільн-прав відповід власн назем трансп засобів</t>
  </si>
  <si>
    <t>посл з виготов відеосюжету на замовлення/анонс новорічних свят</t>
  </si>
  <si>
    <t xml:space="preserve">ФЯНацтелекомУкрМРД            </t>
  </si>
  <si>
    <t xml:space="preserve"> телекомунаційні послуги </t>
  </si>
  <si>
    <t xml:space="preserve">ПАТ"Укртелеком"               </t>
  </si>
  <si>
    <t xml:space="preserve">електричні вимір. опору </t>
  </si>
  <si>
    <t xml:space="preserve">ПП Ділон                      </t>
  </si>
  <si>
    <t>поточна інвент,виготовлення тех паспроту</t>
  </si>
  <si>
    <t xml:space="preserve">ФОП Біляков Д О               </t>
  </si>
  <si>
    <t>поточний ремонт а/м</t>
  </si>
  <si>
    <t xml:space="preserve">ФОП Молчанов Г.В.             </t>
  </si>
  <si>
    <t>інформ матеріал,реклами, оголошення</t>
  </si>
  <si>
    <t xml:space="preserve">РГММР "Вечерний Николаев"     </t>
  </si>
  <si>
    <t>перезарядка вогнегас поточ рем ЗПУ заміна раструба</t>
  </si>
  <si>
    <t xml:space="preserve">ТОВ Аркас-Груп                </t>
  </si>
  <si>
    <t>тех обслуг автомобіля</t>
  </si>
  <si>
    <t xml:space="preserve">послуги по пасажир перевоз тран засоб </t>
  </si>
  <si>
    <t xml:space="preserve">ФОП Якубовський В.О.          </t>
  </si>
  <si>
    <t>посл встанов програм комплексу АВК-5</t>
  </si>
  <si>
    <t xml:space="preserve">ТОВ Парус-Един.               </t>
  </si>
  <si>
    <t>поточний ремонт а/м Daewoo Nexіa ММЦ</t>
  </si>
  <si>
    <t xml:space="preserve"> поточ інвентаризація обєкту виготов тех паспорту виділ в окрему адресу</t>
  </si>
  <si>
    <t xml:space="preserve">               
Микміжбюртехінв               </t>
  </si>
  <si>
    <t xml:space="preserve">вивіз тпв </t>
  </si>
  <si>
    <t xml:space="preserve">ТОВ ВалАН                     </t>
  </si>
  <si>
    <t>експл витрати</t>
  </si>
  <si>
    <t xml:space="preserve">ТОВ ЖЕК Забота                </t>
  </si>
  <si>
    <t xml:space="preserve"> телекомунаційні  послуги</t>
  </si>
  <si>
    <t>посл мереж Інтер</t>
  </si>
  <si>
    <t xml:space="preserve">постійн монітор функціонув надання  консульт </t>
  </si>
  <si>
    <t xml:space="preserve">ТОВ ЦІАТ                      </t>
  </si>
  <si>
    <t xml:space="preserve">експл витрати </t>
  </si>
  <si>
    <t>посл оброб даних вид обслугов сертиф відкрит ключ електрон цифр підпису постач КП</t>
  </si>
  <si>
    <t xml:space="preserve">ТОВ ЦентрсертключУкр          </t>
  </si>
  <si>
    <t>вартість послуги прийому</t>
  </si>
  <si>
    <t xml:space="preserve"> УДППЗ Укрпошта                </t>
  </si>
  <si>
    <t xml:space="preserve"> послуги з надання дост до електрон видання Інтерактив Бух</t>
  </si>
  <si>
    <t xml:space="preserve">ФОП Бровді АС                 </t>
  </si>
  <si>
    <t xml:space="preserve"> тех обсл комп'ют </t>
  </si>
  <si>
    <t>заправка картрид поточ рем картрид принтерів</t>
  </si>
  <si>
    <t xml:space="preserve">послуги з тех підтримки програм  забеспеч </t>
  </si>
  <si>
    <t xml:space="preserve">ФОП Листопад Г Г              </t>
  </si>
  <si>
    <t>встанов програм сервера, доробка програми</t>
  </si>
  <si>
    <t xml:space="preserve">ФОП Половенко Г.В.            </t>
  </si>
  <si>
    <t xml:space="preserve"> програм супров програми, доробка програми</t>
  </si>
  <si>
    <t>встанов програми Підзвіт Мережева версія</t>
  </si>
  <si>
    <t>програмний супровід програм</t>
  </si>
  <si>
    <t>посл у сфері інформат підключ систем супроводу системи ПЗ М.Е.Dоc</t>
  </si>
  <si>
    <t xml:space="preserve">ФОП Цисарь Л Г                </t>
  </si>
  <si>
    <t>інформ консульт посл  викор ПЗ М.Е.Dоc</t>
  </si>
  <si>
    <t>Культурно-мистецькі заходи</t>
  </si>
  <si>
    <t xml:space="preserve">виступ дух орк </t>
  </si>
  <si>
    <t xml:space="preserve">Військова частина 3039        </t>
  </si>
  <si>
    <t>техн забесп світлов звуков обладн підготов репет 9-го Джаз-фест</t>
  </si>
  <si>
    <t xml:space="preserve">КЗК.Обл.п\культ               </t>
  </si>
  <si>
    <t>демонтаж електромонтаж роб посл з автомоб перевезень</t>
  </si>
  <si>
    <t xml:space="preserve">КП ГДМБ                       </t>
  </si>
  <si>
    <t xml:space="preserve">Микакадхудросдрамтеатр        </t>
  </si>
  <si>
    <t>техн забеспеч театр відкрит головн міськ ялин Святого Миколая піротех спецефект</t>
  </si>
  <si>
    <t xml:space="preserve">ТОВ Паллада                   </t>
  </si>
  <si>
    <t>техн забеспеч звук облад</t>
  </si>
  <si>
    <t xml:space="preserve">ФОП  Самохіна О В             </t>
  </si>
  <si>
    <t>послуги оренда установка металевих каркасів</t>
  </si>
  <si>
    <t>оренда металевих каркасів</t>
  </si>
  <si>
    <t>техн забеспеч звук облад театр конкурс розваж програм головн міськ ялинки</t>
  </si>
  <si>
    <t>техн забеспеч звук облад ярмарк містеч голов міськ ялинки</t>
  </si>
  <si>
    <t>встанов сцен 2-рівнев комплексу провед театралізов відкрит головн міськ ялинки</t>
  </si>
  <si>
    <t>тех забезпеч звуковим обладнанням патріот культ мист акці</t>
  </si>
  <si>
    <t xml:space="preserve">ФОП  Самохіна О В             </t>
  </si>
  <si>
    <t>святкове художнє оформ Каштан сквер до Дня міста</t>
  </si>
  <si>
    <t xml:space="preserve">ФОП Бортник ЛБ                </t>
  </si>
  <si>
    <t>святкове художнє оформ голов міськ ялинки</t>
  </si>
  <si>
    <t>попередня опл оренди /установка/ сценічного комплексу</t>
  </si>
  <si>
    <t xml:space="preserve">ФОП Ганношина Н М             </t>
  </si>
  <si>
    <t>попередня опл техн забеспеч звук облад провед Дня Європи</t>
  </si>
  <si>
    <t>оренда /установка/ сценічного комплексу подіуму День Європи</t>
  </si>
  <si>
    <t>техн забесп звук облад провед Дня Європи</t>
  </si>
  <si>
    <t>аванс 30% надання в оренду світлодіодного екрану</t>
  </si>
  <si>
    <t>надання в оренду світлодіодного екрану</t>
  </si>
  <si>
    <t>оренда світлодіодного екрану</t>
  </si>
  <si>
    <t>установка стійки із лайєра під світлодіодний екран.</t>
  </si>
  <si>
    <t>техн забеспеч освітлюв сцени голов міськ ялинки</t>
  </si>
  <si>
    <t>організації провед конкурс розваж прогр голов міськ ялин</t>
  </si>
  <si>
    <t xml:space="preserve">               
ФОП Ганношина Н М             </t>
  </si>
  <si>
    <t xml:space="preserve"> техн забесп звук облад концерт програми</t>
  </si>
  <si>
    <t xml:space="preserve">ФОП Колічко О.М.              </t>
  </si>
  <si>
    <t xml:space="preserve"> техн забесп звук облад</t>
  </si>
  <si>
    <t>створення фонограми</t>
  </si>
  <si>
    <t>техн забесп звук облад конц прогр Палац культ ГУНПУ</t>
  </si>
  <si>
    <t xml:space="preserve"> послуги з перевезення пасажирів</t>
  </si>
  <si>
    <t xml:space="preserve">ФОП Лакутіна А.І              </t>
  </si>
  <si>
    <t xml:space="preserve"> тех забеспеч звуковим світловим обладн 11 міськ фест</t>
  </si>
  <si>
    <t xml:space="preserve">ФОП Сущенко А.В.              </t>
  </si>
  <si>
    <t xml:space="preserve"> послуги по пасажир перевоз тран засоб к/р 0151060500</t>
  </si>
  <si>
    <t xml:space="preserve">поперед опл надання археолог послуг /розкопок/поселен доби черняхів куль-ри </t>
  </si>
  <si>
    <t xml:space="preserve">ДП НДЦ Лукомор'є              </t>
  </si>
  <si>
    <t>археолог.послуги</t>
  </si>
  <si>
    <t>тех нагляд за демонтаж пам'ятн І А Чигрина</t>
  </si>
  <si>
    <t>тех нагляд за демонтаж стелобату та постаменту пам'ятн В І Леніна</t>
  </si>
  <si>
    <t>тех нагляд за демонтаж плит з надписами на обеліску бійцям Червоної армії</t>
  </si>
  <si>
    <t>тех нагляд за демонтажем стелобату постаменту памятн ВІ Леніна/дод роб/</t>
  </si>
  <si>
    <t>попередня оплата за демонтаж стелобату постаменту пам'ят В І Леніна</t>
  </si>
  <si>
    <t xml:space="preserve">ТОВ Приватбуд                 </t>
  </si>
  <si>
    <t xml:space="preserve"> попередня оплата за демонтаж плит з підписами на обелиску бійцям Червоної армії </t>
  </si>
  <si>
    <t>попередня оплата за демонтаж пам'ят І А Чигрина</t>
  </si>
  <si>
    <t>демонтаж плит з підписами на обеліску бійцям Червоної Армії</t>
  </si>
  <si>
    <t>демонтаж пам'ятника І.А.Чигрина</t>
  </si>
  <si>
    <t>демонтаж стелобату та постаменту пам'ят В Іленіна</t>
  </si>
  <si>
    <t>демонтаж стелобату та постаменту пам'ят В І Леніна/дод роб</t>
  </si>
  <si>
    <t>технагляд за заміною вузла обліку газу</t>
  </si>
  <si>
    <t xml:space="preserve"> заміна газового обладнання топкових </t>
  </si>
  <si>
    <t xml:space="preserve">заміна газ обладнання приміщ топкової </t>
  </si>
  <si>
    <t xml:space="preserve">ТОВ МикСпецтехмонтаж          </t>
  </si>
  <si>
    <t>послуги з забеспеч безпеки адміністрат будівель замовн</t>
  </si>
  <si>
    <t xml:space="preserve">ТОВ Дюна Николаев             </t>
  </si>
  <si>
    <t>заміна газового лічильника</t>
  </si>
  <si>
    <t xml:space="preserve">ТОВ Микгазмережі              </t>
  </si>
  <si>
    <t>Дитяча музична школа №2</t>
  </si>
  <si>
    <t xml:space="preserve">монтаж системи відеоспостереження </t>
  </si>
  <si>
    <t xml:space="preserve">ПП ОА Дон-Юг                  </t>
  </si>
  <si>
    <t>Комплект меблів для службового кабінету керівника, 2 шт.</t>
  </si>
  <si>
    <t>Шафа для одягу 750*350*2000мм, 1 шт.</t>
  </si>
  <si>
    <t>Стілець для актової зали, 16 шт.</t>
  </si>
  <si>
    <t>Пенал-Асоль (3D№6) правий R, 1 шт</t>
  </si>
  <si>
    <t>Тумба-Асоль (3D№6) з умивальн. Kolo (nova) 55 см., 1 шт</t>
  </si>
  <si>
    <t>Дзеркало-Асоль 55 (3D№6)(L) з піналом ліворуч., 1 шт</t>
  </si>
  <si>
    <t>Електричний водонагрівач ES 050-501500 W Tronik 1000 Bosch, 1 шт</t>
  </si>
  <si>
    <t>Калькулятор, 3 шт.</t>
  </si>
  <si>
    <t>СПД Калініна І.І.</t>
  </si>
  <si>
    <t>Засіб КЗІ, 5 шт.</t>
  </si>
  <si>
    <t>Телефон бездротовий Panasonic, 1 шт.</t>
  </si>
  <si>
    <t>Багатофункціональний пристрій Epson, 1 шт.</t>
  </si>
  <si>
    <t>Шафа для одягу 750*350*2000мм, 4 шт.</t>
  </si>
  <si>
    <t>Шафа офісна 750*350*2000мм, 13 шт.</t>
  </si>
  <si>
    <t>Покриття для підлоги на гумовій основі (розмір: 4*20 кв.м.)</t>
  </si>
  <si>
    <t>Кабель 3 м., 2 шт.</t>
  </si>
  <si>
    <t>Кабель 1 м., 4 шт.</t>
  </si>
  <si>
    <t>Спикон, 16 шт.</t>
  </si>
  <si>
    <t>Кабель - спикер, 86 м.</t>
  </si>
  <si>
    <t>Бочка ПЛ 30л.</t>
  </si>
  <si>
    <t>ФОП Коноваленко М Л</t>
  </si>
  <si>
    <t>Бочка ПЛ 40л..</t>
  </si>
  <si>
    <t>Кульбакінський будинок кульутри</t>
  </si>
  <si>
    <t>Полиця книжкова ПК-12 700*250*350 вишня</t>
  </si>
  <si>
    <t>Шафа для паперів вишня</t>
  </si>
  <si>
    <t>Стіл комп'ютерний Мишонок вишня</t>
  </si>
  <si>
    <t>Шафа для одягу (вишня), 2 шт.</t>
  </si>
  <si>
    <t>Перфоратор Stanley, STHR163K</t>
  </si>
  <si>
    <t>ФОП Кравчук О М</t>
  </si>
  <si>
    <t>Великокорениський будинок кульутри</t>
  </si>
  <si>
    <t>Стол, 1 шт.</t>
  </si>
  <si>
    <t>Хоровой микрофон Superlux, 3 шт.</t>
  </si>
  <si>
    <t>Шкаф-пенал, 2 шт.</t>
  </si>
  <si>
    <t>Стол, 3 шт.</t>
  </si>
  <si>
    <t>Кресло-мешок, 4 шт.</t>
  </si>
  <si>
    <t>Радиосистема Mipro MR811, 1 шт.</t>
  </si>
  <si>
    <t>Шкаф д/одежды, 5 шт.</t>
  </si>
  <si>
    <t>Стул "Аскона", 90 шт.</t>
  </si>
  <si>
    <t>Световой прибор LedPar 64, 8 шт.</t>
  </si>
  <si>
    <t>Синтезатор Yamaha F50, 1 шт.</t>
  </si>
  <si>
    <t>Диван "Каролина", 8 шт.</t>
  </si>
  <si>
    <t>Крісла для глядацької зали, 140 шт.</t>
  </si>
  <si>
    <t>ФОП Бондарєва А М</t>
  </si>
  <si>
    <t>Стелаж кутовий, 4 шт.</t>
  </si>
  <si>
    <t>Меблевий пересувний перестінок на колесах, 2 шт.</t>
  </si>
  <si>
    <t>Панель меблева з гачками, 2 шт.</t>
  </si>
  <si>
    <t>Роутер Asus RT-N10, 1 шт.</t>
  </si>
  <si>
    <t>Модем Huawei EC306, 1 шт.</t>
  </si>
  <si>
    <t>Монитор LCD, 1 шт</t>
  </si>
  <si>
    <t>Аккустична система, 1 шт.</t>
  </si>
  <si>
    <t>Ноутбук мультимедійний 15,6", 1 шт</t>
  </si>
  <si>
    <t>Багатофункціональний пристрій Canon, 1 шт.</t>
  </si>
  <si>
    <t>Коврове покриття, 20 кв.м.</t>
  </si>
  <si>
    <t>ФОП Туз Т В</t>
  </si>
  <si>
    <t>Шафа гардероб, 1 шт.</t>
  </si>
  <si>
    <t>Табурет "Софі", 12 шт.</t>
  </si>
  <si>
    <t>Софіти для сцени, 2 шт.</t>
  </si>
  <si>
    <t>Шнури для микрофона, 4 шт.</t>
  </si>
  <si>
    <t>Бак д/воды 500л, 1 шт.</t>
  </si>
  <si>
    <t>ФОП Піщиць В А</t>
  </si>
  <si>
    <t>Мати гімнастичні ( 1*1), 1 шт.</t>
  </si>
  <si>
    <t>ПП Степанюк І А</t>
  </si>
  <si>
    <t>Мати гімнастичні ( 1*2), 1 шт.</t>
  </si>
  <si>
    <t>ДМШ-3</t>
  </si>
  <si>
    <t>Кабель, 1 шт.</t>
  </si>
  <si>
    <t>Стол однотумбовий, 1 шт.</t>
  </si>
  <si>
    <t>Шкаф</t>
  </si>
  <si>
    <t>Кріплення до екрану, 1 шт.</t>
  </si>
  <si>
    <t>Стіл комп'ютерний, 1 шт.</t>
  </si>
  <si>
    <t>Екран, 1 шт.</t>
  </si>
  <si>
    <t>Сканер А4 Mustek, 1 шт.</t>
  </si>
  <si>
    <t>Багатофункціональний пристрій Сanon MF211, 1 шт.</t>
  </si>
  <si>
    <t>Стіл робочий, 3 шт.</t>
  </si>
  <si>
    <t>Шкаф-пенал, 5шт.</t>
  </si>
  <si>
    <t>Банер 2,9*4, 1 шт</t>
  </si>
  <si>
    <t>ФОП Сергієнко  С.В.</t>
  </si>
  <si>
    <t>Прапор 6*4, 1 шт</t>
  </si>
  <si>
    <t>ФОП Шапоренко Л.Ю.</t>
  </si>
  <si>
    <t>Світлова конструкція SLOO1V2 сніжинка 0,45м*0,45м, 11 шт.</t>
  </si>
  <si>
    <t>ТОВ Люм'єр Україна</t>
  </si>
  <si>
    <t>Гірлянда EL20-160R 230B ланцюжок червоні на черному кабелі, без блока живлення, 2 шт.</t>
  </si>
  <si>
    <t>Гірлянда EL20-160Р 230B ланцюжок рожеві, без блока живлення, 2 шт.</t>
  </si>
  <si>
    <t>Гірлянда EL20-160О 230B ланцюжок помаранчеві, без блока живлення, 2 шт.</t>
  </si>
  <si>
    <t>Гірлянда EL20-160F 230B ланцюжок біліна черному кабелі, без блока живлення, 2 шт.</t>
  </si>
  <si>
    <t>Гірлянда EL20-160Y 230B ланцюжок жовті  на чорному кабелі, без блока живлення, 2 шт.</t>
  </si>
  <si>
    <t>Гірлянда EL20-160ВF 230B ланцюжок сині з флешем, на чорному кабелі, без блока живлення, 2 шт.</t>
  </si>
  <si>
    <t>Гірлянда EL20-160WF 230B ланцюжок тепло білий колір з флешем, на чорному кабелі, без блока живлення, 2 шт.</t>
  </si>
  <si>
    <t>Кабель ELSC04 перехідник 230В чорний, 11 шт.</t>
  </si>
  <si>
    <t>Кабель ELSC07 230В 1.0м. черний 2*1 мм 2 вилка ІР44, 2 шт.</t>
  </si>
  <si>
    <t>Кабель ELSC02 продовжувач 3м. Чорний, 10 шт.</t>
  </si>
  <si>
    <t>Кабель ELSC03 продовжувач 5м. Чорний, 3 шт.</t>
  </si>
  <si>
    <t>ДМШ-8</t>
  </si>
  <si>
    <t>Вогнегасник ВП-5 (з), 1 шт.</t>
  </si>
  <si>
    <t xml:space="preserve">Мик обл Спец РБП ПР           </t>
  </si>
  <si>
    <t>Степлер F9993 A3, 1 шт.</t>
  </si>
  <si>
    <t>ФОП Кандрашов А.М.</t>
  </si>
  <si>
    <t>Лобзик Vorhut VJ57, 570 Вт, 1 шт.</t>
  </si>
  <si>
    <t>Рубанок електричний Forte P3-110TP, 1 шт.</t>
  </si>
  <si>
    <t>Станок заточний електричний Forte, BG1540, 1 шт.</t>
  </si>
  <si>
    <t>Лещата слюсарні поворотні сині 125 мм, 1 шт.</t>
  </si>
  <si>
    <t>Тример електричний IronAngel ETR-1000, 1 шт.</t>
  </si>
  <si>
    <t>Інвертор зварювальний Riga MMA-240SI, 1 шт.</t>
  </si>
  <si>
    <t>Праска BOSCH TDA 2325, 1 шт.</t>
  </si>
  <si>
    <t>ФОП Чабанюк М О</t>
  </si>
  <si>
    <t>Порохотяг Samsung VC 15QSNMARD, 1 шт.</t>
  </si>
  <si>
    <t>ДХШ</t>
  </si>
  <si>
    <t>Лобзик Dremel 1 шт.</t>
  </si>
  <si>
    <t>Пряма шліфмашина Dremel 4000LP 1 шт.</t>
  </si>
  <si>
    <t>Пилка ручна дискова DeWalt DWE 560, 1 шт.</t>
  </si>
  <si>
    <t>Лобзик Makita JV0600K, 1 шт.</t>
  </si>
  <si>
    <t>Набір інструментів Stels 142 од., 1 шт.</t>
  </si>
  <si>
    <t>Муніципальний театр-студія естрадної пісні для дітей, юнацтва та молоді</t>
  </si>
  <si>
    <t>Конвектор Atlantic 2000W, 3 шт.</t>
  </si>
  <si>
    <t>Конвектор Atlantic 1500W, 2 шт.</t>
  </si>
  <si>
    <t>Музичний центр PHILIPS BTM3360, 2 шт.</t>
  </si>
  <si>
    <t>ФОП Мартиненко</t>
  </si>
  <si>
    <t xml:space="preserve">вартість послуг прийому період. видань </t>
  </si>
  <si>
    <t>страхування приміщень</t>
  </si>
  <si>
    <t>послуги з приєднання ел.установок до ел.мережі пункт4</t>
  </si>
  <si>
    <t>Експертиза кошт.частини проектної .документації за рабочим проектом</t>
  </si>
  <si>
    <t>філія ДП Укрдержбудекспертиза</t>
  </si>
  <si>
    <t>кап.ремонту філії № 4</t>
  </si>
  <si>
    <t>в Микол.обл.</t>
  </si>
  <si>
    <t>Робочий проект кап.ремонту філії № 4</t>
  </si>
  <si>
    <t>Тов.Миколаївкомундорпроект</t>
  </si>
  <si>
    <t>Проектно-кошторисна докум.стад.-роб.проекту кап.ремонт філії № 8</t>
  </si>
  <si>
    <t>Авторський нагляд кап.ремонту філії № 4</t>
  </si>
  <si>
    <t>Тех.нагляд об*єкту кап.ремонту філії № 4</t>
  </si>
  <si>
    <t>КП ММР Капіталбне будівництво</t>
  </si>
  <si>
    <t>ЧВ-Набір свердл по металу 13од. ЗЗС-ДСС 3149201</t>
  </si>
  <si>
    <t>Рукавички з зіркою ПВХ ЕХРЕRT ущільнені,7клас,5 ниток чорно-жовта пластизоль  10пар</t>
  </si>
  <si>
    <t>Рукавички з зіркою ПВХ ЕХРЕRT ущільнені,7клас,5 ниток помар.-синя пластизоль  -10пар</t>
  </si>
  <si>
    <t>Радіатор Kingrad Compact 22-0500/1400  1 од.</t>
  </si>
  <si>
    <t>701 Згін Амеріканка прямий С.m/f/1/2 - 2од.</t>
  </si>
  <si>
    <t>Кутник  3/4 Вх 3/4В   - 5шт.</t>
  </si>
  <si>
    <t>Кутник перехідний 3/4 Вх1/2Н  - 1шт.</t>
  </si>
  <si>
    <t>Муфта 3/4  -4од.</t>
  </si>
  <si>
    <t>Бочонок ¾ (600мм)  1од..</t>
  </si>
  <si>
    <t xml:space="preserve">ТОВ «Епіцентр К»  </t>
  </si>
  <si>
    <t>Згон ¾ сталь (105мм)-      1 од.</t>
  </si>
  <si>
    <t>Кран вентильний ¾ Вв (ручка баранчик)  - 1од.</t>
  </si>
  <si>
    <t xml:space="preserve">Пакети для сміття 160л./10од   </t>
  </si>
  <si>
    <t>Лавки паркові -10од</t>
  </si>
  <si>
    <t>СПД Кондратюк С.М.</t>
  </si>
  <si>
    <t>Урни паркові -25од.</t>
  </si>
  <si>
    <t xml:space="preserve"> Вапно - 20од.</t>
  </si>
  <si>
    <t>ФОП Піщиць В.А.</t>
  </si>
  <si>
    <t>Відро оцинковане 15л  - 3од.</t>
  </si>
  <si>
    <t>Відро оцинковане 10л  5од.</t>
  </si>
  <si>
    <t xml:space="preserve">Лопата снігова  - 5од. </t>
  </si>
  <si>
    <t>Корзина металева -2од</t>
  </si>
  <si>
    <t>Мітла сорго - 10од.</t>
  </si>
  <si>
    <t>ЦМБ для  дітей ім.Ш.Кобера та В.Хоменка м. Миколаєва</t>
  </si>
  <si>
    <t>Тов.Форсаж</t>
  </si>
  <si>
    <t>книги</t>
  </si>
  <si>
    <t>ЧП Дехтяренко А.А.</t>
  </si>
  <si>
    <t>ЧП Шамрай П.М.</t>
  </si>
  <si>
    <t>ЧП Гудим І.О.</t>
  </si>
  <si>
    <t>ЧП Румянцева Г.В.</t>
  </si>
  <si>
    <t>ЧП Руда Т.В.</t>
  </si>
  <si>
    <t>Тов. фірма Іліон</t>
  </si>
  <si>
    <t>періодіка</t>
  </si>
  <si>
    <t>ТЄПС$Co</t>
  </si>
  <si>
    <t>Прінтер</t>
  </si>
  <si>
    <t>Тов.МП Інвар</t>
  </si>
  <si>
    <t>Багатофункціональний пристрій</t>
  </si>
  <si>
    <t>Телевізор</t>
  </si>
  <si>
    <t>Ноутбук</t>
  </si>
  <si>
    <t>Комп*ютер</t>
  </si>
  <si>
    <t>Дивани</t>
  </si>
  <si>
    <t>ЧП Токар О.Є.</t>
  </si>
  <si>
    <t>меблі</t>
  </si>
  <si>
    <t>ЦМБ для дітей ремонт коридору і сходинок у підвальне приміщення</t>
  </si>
  <si>
    <t>ООО Тримінг</t>
  </si>
  <si>
    <t>бібліотека - філія № 2 ремонт читального залу,гардеробу,холу,туалету</t>
  </si>
  <si>
    <t>бібліотека - філія № 5 ремонт гардеробу, туалетної кімнати</t>
  </si>
  <si>
    <t>бібліотека - філія № 6 ремонт читальної зали та абонементу старшого відділу</t>
  </si>
  <si>
    <t>бібліотека -філія № 7 заміна вхідних дверей, ремонт укосів</t>
  </si>
  <si>
    <t>Тех.обстеження приміщення бібліотеки - філії № 4</t>
  </si>
  <si>
    <t>Тов. Миколаїв-Проект</t>
  </si>
  <si>
    <t>Підтримка та оновлення комп*ютерної програми</t>
  </si>
  <si>
    <t>Поточний ремонт багатофункц.пристрою</t>
  </si>
  <si>
    <t>Страховка авто</t>
  </si>
  <si>
    <t>ПАТСК Брокбізнес</t>
  </si>
  <si>
    <t>Семінар</t>
  </si>
  <si>
    <t>Регіон.Торгів.промисл.палата</t>
  </si>
  <si>
    <t>СПД ФО Білов В.М.</t>
  </si>
  <si>
    <t>Інформ.послуги у сфері закупівлі</t>
  </si>
  <si>
    <t>ФОП Лук*яненко А.В.</t>
  </si>
  <si>
    <t>Послуги з виготовлення тех.паспортів</t>
  </si>
  <si>
    <t>КП Микол.міжміське БТІ</t>
  </si>
  <si>
    <t>Гідравличні випробування</t>
  </si>
  <si>
    <t>КПДЄЗ Океан</t>
  </si>
  <si>
    <t>Поточний ремонт сигналізації філ. № 6,2</t>
  </si>
  <si>
    <t>ФОП Шульгін С.О,</t>
  </si>
  <si>
    <t>Ремонт автомобіля</t>
  </si>
  <si>
    <t>ІП АИС-Николаев</t>
  </si>
  <si>
    <t>Вішалка</t>
  </si>
  <si>
    <t>ЧП Росошинський І.О.</t>
  </si>
  <si>
    <t>Меблі</t>
  </si>
  <si>
    <t>Жалюзі</t>
  </si>
  <si>
    <t>ФОП Полянський В.А.</t>
  </si>
  <si>
    <t>Ткан. Ролети</t>
  </si>
  <si>
    <t>ФОП Соколовський В.В.</t>
  </si>
  <si>
    <t>Кап.ремонт усіх внутрішніх приміщень та прилеглої території бібліотеки-філії № 4</t>
  </si>
  <si>
    <t>Вигтовлення ПКД та акспертиза ПКД на Капітальний ремонт Бібліотеки-філіалу № 13 вул. Привільна, 43а</t>
  </si>
  <si>
    <t>Не  використано  57,4 тис.грн  до  завершення  будівництва</t>
  </si>
  <si>
    <t>гідравлічні випробування ф. 18</t>
  </si>
  <si>
    <t>бібліотека - філія № 8 ремонт абонементу мол.відділу та його зонування, переобладнання і ремонт туалетної кімнати</t>
  </si>
  <si>
    <r>
      <t xml:space="preserve"> </t>
    </r>
    <r>
      <rPr>
        <sz val="12"/>
        <rFont val="Times New Roman"/>
        <family val="1"/>
      </rPr>
      <t>Пензель плоский Премія1,5 Тм Темпо   -  5од.</t>
    </r>
  </si>
  <si>
    <t>Оселок  4од.</t>
  </si>
  <si>
    <t>Фарба чорна  ---1од.</t>
  </si>
  <si>
    <t>Колесо на тачку  - 2од.</t>
  </si>
  <si>
    <t>ФОП Піщиць В.А</t>
  </si>
  <si>
    <t>Щітка побелочна  15од.</t>
  </si>
  <si>
    <t>Перчатки робочі  -50пар.</t>
  </si>
  <si>
    <t>Провод ПВС 4*2,5  -  8 и.</t>
  </si>
  <si>
    <t>ФОП Непомнящий С.П.</t>
  </si>
  <si>
    <t>Гофра Д=20  - 5м.</t>
  </si>
  <si>
    <t>Перчатки диєлектричні  1пара</t>
  </si>
  <si>
    <t>Корзина металева -2од.</t>
  </si>
  <si>
    <t>Цемент 400 -20од.</t>
  </si>
  <si>
    <t>Бачок 20л. з краном. -1 од.</t>
  </si>
  <si>
    <t>Секатор  Україна -2од.</t>
  </si>
  <si>
    <t>Колесо поліупретановое -2од</t>
  </si>
  <si>
    <t>Мітла пластикова  - 60од.</t>
  </si>
  <si>
    <t>ФОП  Савенюк І.В.</t>
  </si>
  <si>
    <t>Лопата штиков  - 10од.</t>
  </si>
  <si>
    <t>Граблі кручені  7од.</t>
  </si>
  <si>
    <t>Рукавички  50пар</t>
  </si>
  <si>
    <t>Сікатор  2од.</t>
  </si>
  <si>
    <t>Сокира  - 2од.</t>
  </si>
  <si>
    <t>Пилка  - 2од.</t>
  </si>
  <si>
    <t>Гойдалки на пружині  "Курча"-3од..</t>
  </si>
  <si>
    <t>Гойдалки на пружині  "Рибка"  - 2од..</t>
  </si>
  <si>
    <t>Гойдалка на пружині  4-х місна-2 од.</t>
  </si>
  <si>
    <t>Лазанка  "Гімнаст"- т3 од.</t>
  </si>
  <si>
    <t>Сітка гімнастична "Гімнаст"- 2од.</t>
  </si>
  <si>
    <t>Місток   "Башня" - 1 од.</t>
  </si>
  <si>
    <t>Гірка приставна - 1 од.</t>
  </si>
  <si>
    <t>Дуга гімнастична приставна - 1 од.</t>
  </si>
  <si>
    <t xml:space="preserve">Драбина - змійка приставна - 2 од. </t>
  </si>
  <si>
    <t>Двері металеві -2 шт</t>
  </si>
  <si>
    <t>ФОП Євдошенко О.В</t>
  </si>
  <si>
    <t>Баки для побутових відходів -2од.</t>
  </si>
  <si>
    <t>МПБП "КАРІД"</t>
  </si>
  <si>
    <t>КП ММР "Миколаївські парки"</t>
  </si>
  <si>
    <t xml:space="preserve">Виконавець робіт </t>
  </si>
  <si>
    <t>Назва об’єкту, найменування робіт</t>
  </si>
  <si>
    <t>Кошторисна вартість об'єкта всього,  тис.грн.</t>
  </si>
  <si>
    <t>Фактично сплачено  за виконані роботи у  2016 році, тис. грн.</t>
  </si>
  <si>
    <t>Примітка</t>
  </si>
  <si>
    <t>Найменування товару</t>
  </si>
  <si>
    <t>Постачальник</t>
  </si>
  <si>
    <t>Ціна,  тис.грн.</t>
  </si>
  <si>
    <t>Назва послуги</t>
  </si>
  <si>
    <r>
      <t xml:space="preserve">Перелік  об’єктів з поточних ремонтів,  які проведені у 2016 році за рахунок </t>
    </r>
    <r>
      <rPr>
        <b/>
        <i/>
        <sz val="14"/>
        <rFont val="Times New Roman"/>
        <family val="1"/>
      </rPr>
      <t>загального фонду</t>
    </r>
    <r>
      <rPr>
        <b/>
        <sz val="14"/>
        <rFont val="Times New Roman"/>
        <family val="1"/>
      </rPr>
      <t xml:space="preserve"> по галузі "Культура"</t>
    </r>
  </si>
  <si>
    <r>
      <t xml:space="preserve">Перелік  послуг (крім комунальних платежів та енергоносіїв),  які отримані у 2016 році за рахунок </t>
    </r>
    <r>
      <rPr>
        <b/>
        <i/>
        <sz val="14"/>
        <rFont val="Times New Roman"/>
        <family val="1"/>
      </rPr>
      <t>загального фонду</t>
    </r>
    <r>
      <rPr>
        <b/>
        <sz val="14"/>
        <rFont val="Times New Roman"/>
        <family val="1"/>
      </rPr>
      <t xml:space="preserve"> по галузі "Культура"</t>
    </r>
  </si>
  <si>
    <r>
      <t xml:space="preserve">Перелік придбаного обладнання і предметів довгострокового користування, яке придбано у 2016 році за рахунок </t>
    </r>
    <r>
      <rPr>
        <b/>
        <i/>
        <sz val="14"/>
        <color indexed="8"/>
        <rFont val="Times New Roman"/>
        <family val="1"/>
      </rPr>
      <t>загального фонду</t>
    </r>
    <r>
      <rPr>
        <b/>
        <sz val="14"/>
        <color indexed="8"/>
        <rFont val="Times New Roman"/>
        <family val="1"/>
      </rPr>
      <t xml:space="preserve"> (крім малоцінних) по галузі "Культура"</t>
    </r>
  </si>
  <si>
    <t>№</t>
  </si>
  <si>
    <t xml:space="preserve"> </t>
  </si>
  <si>
    <t>Капітальний ремонт Центаральна бібліотека, вул. Потьомкінська, 143а</t>
  </si>
  <si>
    <t>ТОВ ПромБуд 2</t>
  </si>
  <si>
    <t>Роботи з капітального ремонту ЦБ проводились протягом 2015-2016 рр.</t>
  </si>
  <si>
    <t>технічний нагляд за Капітальний ремонт Центаральна бібліотека, вул. Потьомкінська, 143а</t>
  </si>
  <si>
    <t>КП Капітальне будівництво</t>
  </si>
  <si>
    <t>авторський нагляд за Капітальний ремонт Центаральна бібліотека, вул. Потьомкінська, 143а</t>
  </si>
  <si>
    <t>ТОВ Миколаївпроект</t>
  </si>
  <si>
    <t>експертиза ПКД на Капітальний ремонт Бібліотеки-філіалу № 10 пров. 4-й Прибузький, 34</t>
  </si>
  <si>
    <t>ДП Укрдержбудекспертиза</t>
  </si>
  <si>
    <t>виготовлення ПКД на Капітальний ремонт Бібліотеки-філіалу № 10 пров. 4-й Прибузький, 34</t>
  </si>
  <si>
    <t>ТОВ пПроектна компанія Альянс</t>
  </si>
  <si>
    <t>Капітальний ремонт Бібліотеки-філіалу № 10 пров. 4-й Прибузький, 35</t>
  </si>
  <si>
    <t>технічний нагляд за Капітальний ремонт Бібліотеки-філіалу № 10 пров. 4-й Прибузький, 35</t>
  </si>
  <si>
    <t>авторський нагляд за Капітальний ремонт Бібліотеки-філіалу № 10 пров. 4-й Прибузький, 35</t>
  </si>
  <si>
    <t>ТОВ Проектна компанія Альянс</t>
  </si>
  <si>
    <t>експертиза ПКД на Капітальний ремонт Бібліотеки-філіалу № 13 вул. Привільна, 43а</t>
  </si>
  <si>
    <t>Філія ДП Укрдержбудекспертиза</t>
  </si>
  <si>
    <t>ЦМБ ім. М.Л.Кропивницького ЦБС для  дорослих м. Миколаєва</t>
  </si>
  <si>
    <t>книжкова продукція</t>
  </si>
  <si>
    <t>ФОП Гуляєва Л.С.</t>
  </si>
  <si>
    <t xml:space="preserve">період.видання </t>
  </si>
  <si>
    <t>МД УДППЗ Укрпошта</t>
  </si>
  <si>
    <t>ФОП Капітон Н.Ю.</t>
  </si>
  <si>
    <t>СПД Любиш С.Б.</t>
  </si>
  <si>
    <t>ТОВ ВД Дакор</t>
  </si>
  <si>
    <t>аудіокниги</t>
  </si>
  <si>
    <t>ноутбук в комплекте з аккустичною системою ф. 21</t>
  </si>
  <si>
    <r>
      <t>ФОП Новосьолов В.В.</t>
    </r>
    <r>
      <rPr>
        <sz val="12"/>
        <color indexed="10"/>
        <rFont val="Times New Roman"/>
        <family val="1"/>
      </rPr>
      <t xml:space="preserve"> </t>
    </r>
  </si>
  <si>
    <t>счетчик посетителей с ПО в ЦБ</t>
  </si>
  <si>
    <t>ФОП Фадєєв О.В.</t>
  </si>
  <si>
    <t>1 шт.принтер EPSON L 1800</t>
  </si>
  <si>
    <t>ФОП Буцно С.Г.</t>
  </si>
  <si>
    <t xml:space="preserve">микшерний пульт , акустична ситстема </t>
  </si>
  <si>
    <t>ФОП Гордейчук Т.І.</t>
  </si>
  <si>
    <t>компютери 9 шт.</t>
  </si>
  <si>
    <t>ФОП Новосьолов В.В.</t>
  </si>
  <si>
    <t>ноутбук 4 шт.</t>
  </si>
  <si>
    <t>ЛСД телевізори 4 шт.</t>
  </si>
  <si>
    <t>ФОП Грабчак М. П.</t>
  </si>
  <si>
    <t>проектор 2 шт.</t>
  </si>
  <si>
    <t>ФОП Заярський М.С.</t>
  </si>
  <si>
    <t>фотокамера</t>
  </si>
  <si>
    <t>ФОП Караяніді С.П.</t>
  </si>
  <si>
    <t>БФП (багатофункціональний пристрій) 3 шт.</t>
  </si>
  <si>
    <t>ноутбуки 2 шт.</t>
  </si>
  <si>
    <t>персональний комп. 2 шт.</t>
  </si>
  <si>
    <t>Комплекс настельного проекійного обладнання для проведення масових заходіа в чит.залі, в т.ч.: мультемед. Проектор 1шт. проекційний екран 1шт.</t>
  </si>
  <si>
    <t>ФОП Березін С.В,</t>
  </si>
  <si>
    <r>
      <t xml:space="preserve">меблева стінка в читальний зал для користувачів бібл.-філіалу для </t>
    </r>
    <r>
      <rPr>
        <b/>
        <sz val="12"/>
        <rFont val="Times New Roman"/>
        <family val="1"/>
      </rPr>
      <t>юнацтва</t>
    </r>
  </si>
  <si>
    <t>СПДФО Сперелуп В.А.</t>
  </si>
  <si>
    <r>
      <t xml:space="preserve">стінка з мякими кріслами в чит. Зал 1шт., кутова стінка 1шт. в чит.зал </t>
    </r>
    <r>
      <rPr>
        <b/>
        <sz val="12"/>
        <rFont val="Times New Roman"/>
        <family val="1"/>
      </rPr>
      <t>ф. 10</t>
    </r>
  </si>
  <si>
    <t>ФОП Ніколаєв О.Ю.</t>
  </si>
  <si>
    <t>ТОВ Фірма Іліон</t>
  </si>
  <si>
    <t>усунення аварійних робіт ф.18</t>
  </si>
  <si>
    <t xml:space="preserve">КП ДЕЗ Океан          </t>
  </si>
  <si>
    <t>пот. ремонт аварійних ділянок пожежного водопроводу ЦБ</t>
  </si>
  <si>
    <t>ТОВ МП Комунальник</t>
  </si>
  <si>
    <t>пот рем юнацького філіалу</t>
  </si>
  <si>
    <t>ТОВ Південь-Будсервіс</t>
  </si>
  <si>
    <t>пот.ремонту ф. 14</t>
  </si>
  <si>
    <t>ООО"Трімінг"</t>
  </si>
  <si>
    <t>подключение и монтаж вентиляции ЦБ</t>
  </si>
  <si>
    <t>ФОП Крамаров С.В.</t>
  </si>
  <si>
    <t>виконання передпроектних робіт по Кап.ремонту ф.10</t>
  </si>
  <si>
    <t>гідравлика ЦБ</t>
  </si>
  <si>
    <t>ТОВ ТРАКОНТА</t>
  </si>
  <si>
    <t>пот ремонт пункту ЦБ</t>
  </si>
  <si>
    <t>пот ремонт ф. 3</t>
  </si>
  <si>
    <t>монтаж електромережі та освітлення в пункту ЦБ</t>
  </si>
  <si>
    <t>КП ДЕЗ "Океан"</t>
  </si>
  <si>
    <t>пот рем ф.4</t>
  </si>
  <si>
    <t>ПБЛП "Южинтерстрой"</t>
  </si>
  <si>
    <r>
      <t>оплата поточного ремонту системи опалення ф. 15</t>
    </r>
    <r>
      <rPr>
        <b/>
        <sz val="12"/>
        <color indexed="8"/>
        <rFont val="Times New Roman"/>
        <family val="1"/>
      </rPr>
      <t xml:space="preserve"> (гідравліка)</t>
    </r>
  </si>
  <si>
    <t>поточний ремонт пожежної сигналізації в юн.філії</t>
  </si>
  <si>
    <t>ФОП Шульгін С.О.</t>
  </si>
  <si>
    <t>поточний ремонт охоронної сигналізації в юн.філії</t>
  </si>
  <si>
    <t>поточний ремонт паркетного полу в читальному залі і зілі катологів ЦБ</t>
  </si>
  <si>
    <t>ФОП Шпаков І.М.</t>
  </si>
  <si>
    <t>поточний ремонт ф. 9</t>
  </si>
  <si>
    <r>
      <t xml:space="preserve">поточний ремонт </t>
    </r>
    <r>
      <rPr>
        <b/>
        <sz val="12"/>
        <color indexed="8"/>
        <rFont val="Times New Roman"/>
        <family val="1"/>
      </rPr>
      <t>ЦБ</t>
    </r>
    <r>
      <rPr>
        <sz val="12"/>
        <color indexed="8"/>
        <rFont val="Times New Roman"/>
        <family val="1"/>
      </rPr>
      <t xml:space="preserve"> (відкоси)</t>
    </r>
  </si>
  <si>
    <t>пот ремонт сигналізації  в пункті б/ф2</t>
  </si>
  <si>
    <t>монтаж пож сигналіз б/ф 14</t>
  </si>
  <si>
    <t>пот ремонт сигналізації  в б/ф3</t>
  </si>
  <si>
    <t>поточний ремонт засобів сигналізації приміщень пункту ЦБ</t>
  </si>
  <si>
    <t>поточний ремонт засобів сигналізації приміщень ЦБ</t>
  </si>
  <si>
    <t>поточний ремонт трубопровода ф. 18</t>
  </si>
  <si>
    <r>
      <t xml:space="preserve">поточний ремонт охоронної сигналізації </t>
    </r>
    <r>
      <rPr>
        <b/>
        <sz val="12"/>
        <color indexed="8"/>
        <rFont val="Times New Roman"/>
        <family val="1"/>
      </rPr>
      <t>ф. 10</t>
    </r>
  </si>
  <si>
    <t xml:space="preserve">ФОП Шульгін С.О.              </t>
  </si>
  <si>
    <t>електромонтажні роботи пункт 4</t>
  </si>
  <si>
    <r>
      <t>поточний ремонт системи центрального опалення</t>
    </r>
    <r>
      <rPr>
        <b/>
        <sz val="12"/>
        <color indexed="8"/>
        <rFont val="Times New Roman"/>
        <family val="1"/>
      </rPr>
      <t xml:space="preserve"> ЦБ</t>
    </r>
  </si>
  <si>
    <r>
      <t xml:space="preserve">поточний ремонт охоронної сигналізації </t>
    </r>
    <r>
      <rPr>
        <b/>
        <sz val="12"/>
        <color indexed="8"/>
        <rFont val="Times New Roman"/>
        <family val="1"/>
      </rPr>
      <t>ф. 2</t>
    </r>
  </si>
  <si>
    <r>
      <t xml:space="preserve">поточний ремонт охоронної сигналізації </t>
    </r>
    <r>
      <rPr>
        <b/>
        <sz val="12"/>
        <color indexed="8"/>
        <rFont val="Times New Roman"/>
        <family val="1"/>
      </rPr>
      <t>ф. пункт 4</t>
    </r>
  </si>
  <si>
    <t>обслуговування ліфту ЦБ</t>
  </si>
  <si>
    <t>КП"Миколаївліфт</t>
  </si>
  <si>
    <t>експлуатаційні витрати</t>
  </si>
  <si>
    <t>ПП "ЖЕК-10"</t>
  </si>
  <si>
    <t>послуги Интернет</t>
  </si>
  <si>
    <t>ПП "Дикий Сад" ЦБ</t>
  </si>
  <si>
    <t>ТОВ Добробут</t>
  </si>
  <si>
    <t>телефонний зв'язок, Інтерент</t>
  </si>
  <si>
    <t>ПАТ '' Укртелеком''</t>
  </si>
  <si>
    <t>вивіз ТПВ</t>
  </si>
  <si>
    <t>КП "Миколаївкомунтранс"  </t>
  </si>
  <si>
    <t>ЖКП ММР "БРИЗ"</t>
  </si>
  <si>
    <t>обслуговування ПЗ Дінай</t>
  </si>
  <si>
    <t>ФОП Нугаєва О. А.</t>
  </si>
  <si>
    <t>діагностика ДВЗ ВАЗ</t>
  </si>
  <si>
    <t>ООО АВТОЦЕНТР</t>
  </si>
  <si>
    <t>обслуговування пожежної сигналізації</t>
  </si>
  <si>
    <t>обслуговування охоронної сигналізації</t>
  </si>
  <si>
    <t>ДП КП"Миколаївком"АС"Центр."</t>
  </si>
  <si>
    <t>ТОВ "СОЛЯНІ"</t>
  </si>
  <si>
    <t>обслуговування ПЗ Ліга-Закон</t>
  </si>
  <si>
    <t>ТОВ"Технодилер"</t>
  </si>
  <si>
    <t>ЖКП ММР"Південь"</t>
  </si>
  <si>
    <t>ДП"Корунд-Х"   </t>
  </si>
  <si>
    <t>охорона приміщення</t>
  </si>
  <si>
    <t>ПП " ОСТАМ - МИК"</t>
  </si>
  <si>
    <t>повірка лічильників води</t>
  </si>
  <si>
    <t>ПП Левченко Ю.Г.</t>
  </si>
  <si>
    <t>ТОВ "Центральний 1"</t>
  </si>
  <si>
    <t>КП"Обрій-ДКП"</t>
  </si>
  <si>
    <t>оренда приміщення б/ф № 7</t>
  </si>
  <si>
    <t>Державний бюджет/ЧНУ</t>
  </si>
  <si>
    <t>телефонний зв'язок</t>
  </si>
  <si>
    <t>ПрАТ "Датагруп"</t>
  </si>
  <si>
    <t>Інтерент</t>
  </si>
  <si>
    <t>КП ДЄЗ "Пілот"</t>
  </si>
  <si>
    <t>поточний ремонт ВАЗ</t>
  </si>
  <si>
    <t>страхування автомобілю РАФ</t>
  </si>
  <si>
    <t>ПАТ УСК "Княжа ВІГ"</t>
  </si>
  <si>
    <t>заправка картриджів</t>
  </si>
  <si>
    <t>ТОВ МП "Інвар"</t>
  </si>
  <si>
    <t>ЧНУ ім. Петра Могили</t>
  </si>
  <si>
    <t>дезинфекція та дератизація приміщення</t>
  </si>
  <si>
    <t>ТОВ "Медична дезинфекція"</t>
  </si>
  <si>
    <t>предрейсовий мед. огляд водіїїв</t>
  </si>
  <si>
    <t>ТОВ "МОЦ профогляду"</t>
  </si>
  <si>
    <t>паркування автомобілів</t>
  </si>
  <si>
    <t>ПКВО "ФАРМАЦІЯ"</t>
  </si>
  <si>
    <t>страхування водіїв</t>
  </si>
  <si>
    <t>ПрАТ "УСК "Княжа"</t>
  </si>
  <si>
    <t>поточний ремонт та обслуговування домофону</t>
  </si>
  <si>
    <t>ТОВ "Ваш Домофон"</t>
  </si>
  <si>
    <t>техобсл. принтеру з заміною вузла захвату паперу БММ</t>
  </si>
  <si>
    <t>діагностика техн. Стану оргтехніки (29 шт.)</t>
  </si>
  <si>
    <t>послуги з підключення та системного супроводу системи МЕДок</t>
  </si>
  <si>
    <t>ФОП Цисарь Л. Г.</t>
  </si>
  <si>
    <t>послуги у сфері інформ. МЕДок</t>
  </si>
  <si>
    <t>конс.послуги з питань обсл. ПЗ Парус Кадри</t>
  </si>
  <si>
    <t>ФОП "Листопад Г.Г."</t>
  </si>
  <si>
    <t>послуги з отримання, збереження, комплектування літератури</t>
  </si>
  <si>
    <t>КП"Миколаївкнига"</t>
  </si>
  <si>
    <t>повірка манометрів 9 шт. ЦБ</t>
  </si>
  <si>
    <t>ДП Миколаївстандартметрологія</t>
  </si>
  <si>
    <t>передрейсовий тех.огляд авто</t>
  </si>
  <si>
    <t>ОСББ "Жилец-Юг"</t>
  </si>
  <si>
    <t>поточний ремонт ВАЗ-заміна шрусу, масло 4 л.</t>
  </si>
  <si>
    <t>поточний ремонт принтера</t>
  </si>
  <si>
    <t>МДУДППЗ"Укрпошта"</t>
  </si>
  <si>
    <t>перевірка димових вент. каналів ф. 10, юн.</t>
  </si>
  <si>
    <t>ПАТ  "Миколаївгаз"</t>
  </si>
  <si>
    <t>послуги електро-технічної лабораторії ф.4, 16, юн.,10</t>
  </si>
  <si>
    <t>техічний нагяд за поточними ремонтами</t>
  </si>
  <si>
    <t>профілактичні електровимірювання ЦБ</t>
  </si>
  <si>
    <t xml:space="preserve">ПП "Ділон"     </t>
  </si>
  <si>
    <t>заміна фотобарабану</t>
  </si>
  <si>
    <t>оновлення версіїї АБІС ІРБІС 64</t>
  </si>
  <si>
    <t>ПП"АДІС"Матрікс Прес"</t>
  </si>
  <si>
    <t>виконання експл. Зовн. систем гозопостачання ф.4,10</t>
  </si>
  <si>
    <t>послуги з зашивки стелажів ф. 14</t>
  </si>
  <si>
    <t>ПП "ТК-РЕНЕССАНС"</t>
  </si>
  <si>
    <t>демонтаж, монтаж, запрвка фреоном кондиціонерів ЦБ 23 шт.</t>
  </si>
  <si>
    <t>ФОП Іваненко А.В</t>
  </si>
  <si>
    <t>обрізання дерев біля ЦБ</t>
  </si>
  <si>
    <t>ТОВ "Миколаївзеленгосп"</t>
  </si>
  <si>
    <t>перезарядка, вибраковування вогнегасників</t>
  </si>
  <si>
    <t>ТОВ "НІКПОЖТЕХСЕРВІС"</t>
  </si>
  <si>
    <t xml:space="preserve">хостінг </t>
  </si>
  <si>
    <t>ремонт принтеру 2 шт.</t>
  </si>
  <si>
    <t>ТОВ "Валан"</t>
  </si>
  <si>
    <t>послуги з обстеження будівель, щодо можливості створення умов для безперешкодного доступу осіб з обмеженними можливостями</t>
  </si>
  <si>
    <t>поточний ремонт сиситемного блоку</t>
  </si>
  <si>
    <t>поточний ремонт безперебійного блока живлення 2 шт. ф. 16</t>
  </si>
  <si>
    <t>ПП "Сервіс-ТС"</t>
  </si>
  <si>
    <t>КП "Миколаївкомунтранс "</t>
  </si>
  <si>
    <t>ремонт принтера та системного блоку</t>
  </si>
  <si>
    <t>електротехнічні виміри опору контуру заземлення ЦБ</t>
  </si>
  <si>
    <t>ТОВ "НІКЕЛЕКТРО"</t>
  </si>
  <si>
    <t>техн. обслуговування та поточний ремонт ВАЗ</t>
  </si>
  <si>
    <t>ФОП Мігачов  І.Л.</t>
  </si>
  <si>
    <t>страхувння РАФ</t>
  </si>
  <si>
    <t>поточний ремонт системного блоку ф. 18</t>
  </si>
  <si>
    <t>Шляховський О.С.</t>
  </si>
  <si>
    <t>прання чохлів ВАЗ, штор і занавес ЦБ</t>
  </si>
  <si>
    <t>ТОВ "Ірида Со"</t>
  </si>
  <si>
    <t>ремонт ПК ВБММ ЦБ</t>
  </si>
  <si>
    <r>
      <t xml:space="preserve">перевірка засобів обліку </t>
    </r>
    <r>
      <rPr>
        <b/>
        <sz val="12"/>
        <color indexed="8"/>
        <rFont val="Times New Roman"/>
        <family val="1"/>
      </rPr>
      <t>ф. 10</t>
    </r>
  </si>
  <si>
    <t>ПАТ "Миколаївобленерго"</t>
  </si>
  <si>
    <t>перезарядка, освідоцтвування, вибракування вогнегасників, установка бірок та пломб</t>
  </si>
  <si>
    <t>ОСББ " Парусний-11 "</t>
  </si>
  <si>
    <r>
      <t>технічне обслуговування та поточний ремонт</t>
    </r>
    <r>
      <rPr>
        <b/>
        <sz val="12"/>
        <color indexed="8"/>
        <rFont val="Times New Roman"/>
        <family val="1"/>
      </rPr>
      <t xml:space="preserve"> РАФ</t>
    </r>
  </si>
  <si>
    <t>реєстрація домену</t>
  </si>
  <si>
    <t>ТОВ "ІНТЕРНЕТ ІНВЕСТ"</t>
  </si>
  <si>
    <t>пот.ремонт ПК с заменой модуля памти 5 шт.</t>
  </si>
  <si>
    <t>ФОП Дубровін Ю.В.</t>
  </si>
  <si>
    <t>ОСББ "Космонавтів 140"</t>
  </si>
  <si>
    <t>виготовлення проекту електр. Пункт 4</t>
  </si>
  <si>
    <t xml:space="preserve">ТОВ "НК-ЕНЕРГІЯ-ПІВДЕНЬ"      </t>
  </si>
  <si>
    <t>ПАТ "Миколаївобленерго" </t>
  </si>
  <si>
    <t>засіб КЗІ (флешки для казни) 5 шт.</t>
  </si>
  <si>
    <t>ТОВ О-2</t>
  </si>
  <si>
    <t>сітки москітні 39 шт. ЦБ</t>
  </si>
  <si>
    <t>ТОВ ВІКРА</t>
  </si>
  <si>
    <t>вікна металопласт. 3 шт. ф. 19</t>
  </si>
  <si>
    <t>вікна+двері 14 шт. (4 двері, 10 вікон) юн.філіал</t>
  </si>
  <si>
    <t>вікна 4ш.+2 двері ЦБ битова кімната</t>
  </si>
  <si>
    <t>сканер з ПЗ Fine reader</t>
  </si>
  <si>
    <t>двері металопл. 1 шт. ф. 6</t>
  </si>
  <si>
    <t>вікна 3 шт, двері 4 шт. пункт ЦБ</t>
  </si>
  <si>
    <t>двері металопл. 4 шт. ф.9</t>
  </si>
  <si>
    <t>вікна 4 шт. пункт 4</t>
  </si>
  <si>
    <t>жалюзі вертикальні чит.зал ЦБ</t>
  </si>
  <si>
    <t>ТОВ К-Систем</t>
  </si>
  <si>
    <t>жалюзі вертикальні бухг. ЦБ</t>
  </si>
  <si>
    <t>жалюзі вертикальні коридор ЦБ</t>
  </si>
  <si>
    <t>бак металевий для сміття ЦБ</t>
  </si>
  <si>
    <t>МУВП Укр.товариство глухих</t>
  </si>
  <si>
    <t>нагрівальна панель 2 шт., комплект опор 2 шт. для ф.3</t>
  </si>
  <si>
    <t>ФОП Таран С.Н.</t>
  </si>
  <si>
    <t>вогнегасник порошковий 2 шт., вогнегасник вуглекислий 14 шт.</t>
  </si>
  <si>
    <t>ТОВ Нікпожтехсервіс</t>
  </si>
  <si>
    <r>
      <t xml:space="preserve">тумбочка1 шт., тумба1шт. , стол полукруг 2 шт. </t>
    </r>
    <r>
      <rPr>
        <b/>
        <sz val="12"/>
        <rFont val="Times New Roman"/>
        <family val="1"/>
      </rPr>
      <t>ЦБ</t>
    </r>
  </si>
  <si>
    <t>СПД Фо Сперелуп В.А.</t>
  </si>
  <si>
    <r>
      <t>меблі (стелажи, стол, полка, стол-кафедра, уголок)</t>
    </r>
    <r>
      <rPr>
        <b/>
        <sz val="12"/>
        <rFont val="Times New Roman"/>
        <family val="1"/>
      </rPr>
      <t>пункт ЦБ</t>
    </r>
  </si>
  <si>
    <r>
      <t xml:space="preserve">меблі </t>
    </r>
    <r>
      <rPr>
        <b/>
        <sz val="12"/>
        <rFont val="Times New Roman"/>
        <family val="1"/>
      </rPr>
      <t>для ф.14</t>
    </r>
    <r>
      <rPr>
        <sz val="12"/>
        <rFont val="Times New Roman"/>
        <family val="1"/>
      </rPr>
      <t xml:space="preserve"> (стол кафедра 1шт., стол трапеция 6 шт., стенд невесной 2 шт., полка тетрис 1шт.)</t>
    </r>
  </si>
  <si>
    <r>
      <t xml:space="preserve">стінка 1 шт., стелаж 1 шт., стіл 12 шт. </t>
    </r>
    <r>
      <rPr>
        <b/>
        <sz val="12"/>
        <rFont val="Times New Roman"/>
        <family val="1"/>
      </rPr>
      <t>для ф. 20</t>
    </r>
  </si>
  <si>
    <t>ФОП Щербина С.М.</t>
  </si>
  <si>
    <t>вікна 4 шт. дверь 1 ЦБ</t>
  </si>
  <si>
    <t>жалюзі б/ф № 14 ( 14,748 м кв.)</t>
  </si>
  <si>
    <t>жалюзі б/ф № 14 ( 16,458 м кв.)</t>
  </si>
  <si>
    <t>жалюзі вертикальні, горизонт. ф.3</t>
  </si>
  <si>
    <t>жалюзі вертикальні, кронштейн ф.10</t>
  </si>
  <si>
    <t>жалюзі вертикальні пункт ЦБ</t>
  </si>
  <si>
    <t>жалюзі вертикальні юн.філіал</t>
  </si>
  <si>
    <r>
      <t xml:space="preserve">унітази (1 шт. </t>
    </r>
    <r>
      <rPr>
        <b/>
        <sz val="12"/>
        <rFont val="Times New Roman"/>
        <family val="1"/>
      </rPr>
      <t>п.4</t>
    </r>
    <r>
      <rPr>
        <sz val="12"/>
        <rFont val="Times New Roman"/>
        <family val="1"/>
      </rPr>
      <t xml:space="preserve">, 1 шт. </t>
    </r>
    <r>
      <rPr>
        <b/>
        <sz val="12"/>
        <rFont val="Times New Roman"/>
        <family val="1"/>
      </rPr>
      <t>ЦБ</t>
    </r>
    <r>
      <rPr>
        <sz val="12"/>
        <rFont val="Times New Roman"/>
        <family val="1"/>
      </rPr>
      <t xml:space="preserve"> компакт)</t>
    </r>
  </si>
  <si>
    <t>ФОП Обрєзков І.Є.</t>
  </si>
  <si>
    <r>
      <t xml:space="preserve">крісло офісне 2 шт., стілець офісний 8 шт., стілець офісний 15 шт. </t>
    </r>
    <r>
      <rPr>
        <b/>
        <sz val="12"/>
        <rFont val="Times New Roman"/>
        <family val="1"/>
      </rPr>
      <t>ЦБ</t>
    </r>
  </si>
  <si>
    <r>
      <t xml:space="preserve">диван 2шт., крісло 2 шт., стіл журнальний 1 шт. </t>
    </r>
    <r>
      <rPr>
        <b/>
        <sz val="12"/>
        <rFont val="Times New Roman"/>
        <family val="1"/>
      </rPr>
      <t>ф. 21</t>
    </r>
  </si>
  <si>
    <t>ФОП Баранова Н.М.</t>
  </si>
  <si>
    <r>
      <t xml:space="preserve">вітальня 1 шт., стелаж 1шт. вітальня 1шт., вітальня 1шт., полиця 1шт., стелаж кутовий 1шт., стіл до стелажу кутового 1шт., табурет до стелажу кутового 2шт., стіл-папка 1шт. </t>
    </r>
    <r>
      <rPr>
        <b/>
        <sz val="12"/>
        <rFont val="Times New Roman"/>
        <family val="1"/>
      </rPr>
      <t xml:space="preserve">ф.21 </t>
    </r>
  </si>
  <si>
    <t xml:space="preserve">ФОП Шаталіна Л.М. </t>
  </si>
  <si>
    <r>
      <t xml:space="preserve">шаф книжний 2шт.; щаф книжний 3шт.; щаф книжний 1шт.; стелаж для книг парус 1шт.; стол журн бочка 2шт.; полка штурвал 1шт.; стол корабль 1шт.; вешалка отркітая 1шт.; полка чайка 2шт.; стелаж для книг угловой 1шт.; лавка для посетителей с отбойной планкой 1шт.; информац панель 1шт. </t>
    </r>
    <r>
      <rPr>
        <b/>
        <sz val="12"/>
        <rFont val="Times New Roman"/>
        <family val="1"/>
      </rPr>
      <t>ф.3</t>
    </r>
  </si>
  <si>
    <r>
      <t>мякі каркасні та безкаркасні меблі, коврова доріжка</t>
    </r>
    <r>
      <rPr>
        <b/>
        <sz val="12"/>
        <rFont val="Times New Roman"/>
        <family val="1"/>
      </rPr>
      <t xml:space="preserve"> ф. 14</t>
    </r>
  </si>
  <si>
    <r>
      <t xml:space="preserve">стелаж 1шт., стенка 1шт., уголок 1шт., стол 1шт. </t>
    </r>
    <r>
      <rPr>
        <b/>
        <sz val="12"/>
        <rFont val="Times New Roman"/>
        <family val="1"/>
      </rPr>
      <t>ф.10</t>
    </r>
  </si>
  <si>
    <t xml:space="preserve">СПД Фо Сперелуп В.А. </t>
  </si>
  <si>
    <t>знак пож. Безпеки 150шт; рукав пожежний з гайками для кранів 1шт; вогнегасник вуглекислий 5 шт. ; вогнегасник порошковий 1 шт; ствол пожежний 3 шт.</t>
  </si>
  <si>
    <t>ТОВ НІКПОЖТЕХСЕРВІС</t>
  </si>
  <si>
    <r>
      <t xml:space="preserve">диван дует 1шт., крісло дует 2, стіл журнальний 1*2037,00 </t>
    </r>
    <r>
      <rPr>
        <b/>
        <sz val="12"/>
        <rFont val="Times New Roman"/>
        <family val="1"/>
      </rPr>
      <t>ф.юн.</t>
    </r>
  </si>
  <si>
    <t xml:space="preserve">ФОП Баранова Н.М. </t>
  </si>
  <si>
    <r>
      <t xml:space="preserve">цифровий фотоапарат </t>
    </r>
    <r>
      <rPr>
        <b/>
        <sz val="12"/>
        <rFont val="Times New Roman"/>
        <family val="1"/>
      </rPr>
      <t>ф. 12</t>
    </r>
  </si>
  <si>
    <t>ФОП Сербін О.І.</t>
  </si>
  <si>
    <r>
      <t xml:space="preserve">фурнітура віконна </t>
    </r>
    <r>
      <rPr>
        <b/>
        <sz val="12"/>
        <rFont val="Times New Roman"/>
        <family val="1"/>
      </rPr>
      <t>б/ф 4</t>
    </r>
  </si>
  <si>
    <r>
      <t>жалюзі вертикальні</t>
    </r>
    <r>
      <rPr>
        <b/>
        <sz val="12"/>
        <rFont val="Times New Roman"/>
        <family val="1"/>
      </rPr>
      <t xml:space="preserve"> юн.ф.</t>
    </r>
  </si>
  <si>
    <r>
      <t xml:space="preserve">сигнализатор газа </t>
    </r>
    <r>
      <rPr>
        <b/>
        <sz val="12"/>
        <rFont val="Times New Roman"/>
        <family val="1"/>
      </rPr>
      <t>ф. 16</t>
    </r>
  </si>
  <si>
    <t>ФОП Рибалкін В.В.</t>
  </si>
  <si>
    <t>оперативная пам'ять ЦБ-бухг.</t>
  </si>
  <si>
    <r>
      <t xml:space="preserve">стол для картотек 1 шт. </t>
    </r>
    <r>
      <rPr>
        <b/>
        <sz val="12"/>
        <rFont val="Times New Roman"/>
        <family val="1"/>
      </rPr>
      <t>ф. 3</t>
    </r>
  </si>
  <si>
    <r>
      <t xml:space="preserve">СПД Фо Сперелуп В.А. </t>
    </r>
  </si>
  <si>
    <r>
      <t xml:space="preserve">стол для картотек 1 шт., стол трапеция на хром. Ножках 2 шт. </t>
    </r>
    <r>
      <rPr>
        <b/>
        <sz val="12"/>
        <rFont val="Times New Roman"/>
        <family val="1"/>
      </rPr>
      <t>ф. 13</t>
    </r>
  </si>
  <si>
    <r>
      <t>стілці 10 шт.</t>
    </r>
    <r>
      <rPr>
        <b/>
        <sz val="12"/>
        <rFont val="Times New Roman"/>
        <family val="1"/>
      </rPr>
      <t xml:space="preserve"> ф. 13</t>
    </r>
  </si>
  <si>
    <r>
      <t xml:space="preserve">ФОП Щербина С.М. </t>
    </r>
  </si>
  <si>
    <t>модуль памяті 2 шт.</t>
  </si>
  <si>
    <r>
      <t xml:space="preserve">водяний лічильник </t>
    </r>
    <r>
      <rPr>
        <b/>
        <sz val="12"/>
        <rFont val="Times New Roman"/>
        <family val="1"/>
      </rPr>
      <t>ф. 5</t>
    </r>
  </si>
  <si>
    <r>
      <t xml:space="preserve">вивіски 6 шт., табличка 1 - </t>
    </r>
    <r>
      <rPr>
        <b/>
        <sz val="12"/>
        <rFont val="Times New Roman"/>
        <family val="1"/>
      </rPr>
      <t>ЦБ, пЦБ, ф.10</t>
    </r>
  </si>
  <si>
    <t>ФОП Сухова Н.О.</t>
  </si>
  <si>
    <t xml:space="preserve">тумба под принтер </t>
  </si>
  <si>
    <t>СПД ФО Сперелуп В.А.</t>
  </si>
  <si>
    <t xml:space="preserve">Мультікор SOUNDKING SKAH103/30 </t>
  </si>
  <si>
    <t>ФОП СущенкоВ.П.</t>
  </si>
  <si>
    <t xml:space="preserve">Комплект моніторів Clarity MAX 15 MH </t>
  </si>
  <si>
    <t xml:space="preserve">Пульт світовій New Light PR </t>
  </si>
  <si>
    <t xml:space="preserve">Комплект світового обладнання </t>
  </si>
  <si>
    <t xml:space="preserve">Пульт BEHRINGER XENYX QX 2222  </t>
  </si>
  <si>
    <t>ФОП Гордійчук Т.І.</t>
  </si>
  <si>
    <t xml:space="preserve">Акустична система MAG Z 105 </t>
  </si>
  <si>
    <t xml:space="preserve">Підсилювач QSC GX 3 </t>
  </si>
  <si>
    <t>РАЗОМ:</t>
  </si>
  <si>
    <t>Миколаївський міський палац культури і мистецтв</t>
  </si>
  <si>
    <t>поточний ремонт філії "Центр культури та дозвілля "Промінь" по вул. Веселинівській, 23 (заміна пластикової вагонки на гіпсокартон)</t>
  </si>
  <si>
    <t>Приватна фірма "Миколаївспецбуд"</t>
  </si>
  <si>
    <t>поточний ремонт філії "Центр культури та дозвілля "Промінь" по вул. Веселинівській, 23 (фарбування стін і фісаду. Облаштування пандусу, перил)</t>
  </si>
  <si>
    <t>послуги по поточному ремонту виставквої зали по вул. Нікольській, 54 -встановлення галерейної системи розвішування картин</t>
  </si>
  <si>
    <t>поточний ремонт філії "Центр культури та дозвілля "Промінь" по вул. Веселинівській, 23 (фрбування стін глядацьеої зали  "короїд))</t>
  </si>
  <si>
    <t>поточний ремонт філії "Центр культури та дозвілля "Промінь" по вул. Веселинівській, 23 (облаштування навісу  вздовж ганка)</t>
  </si>
  <si>
    <t>х</t>
  </si>
  <si>
    <t>Вивезення сміття</t>
  </si>
  <si>
    <t>ДП КП "Микк/комунтранс"АС "Центральний</t>
  </si>
  <si>
    <t>Сторожування приміщ. БОФ</t>
  </si>
  <si>
    <t>ФОП Бабков Ю.В.</t>
  </si>
  <si>
    <t>Забезпечення пожеж. безпеки</t>
  </si>
  <si>
    <t>ТОВ "Пожзабезпечення"</t>
  </si>
  <si>
    <t>Тех./охорона приміщ. Промінь</t>
  </si>
  <si>
    <t>Управління поліції охорони в Мик.обл</t>
  </si>
  <si>
    <t>Тех/охорона та спостереження  ВЗ</t>
  </si>
  <si>
    <t>ПП "Остам-МИК"</t>
  </si>
  <si>
    <t>ТОВ "Стефі"</t>
  </si>
  <si>
    <t>Експлуатац.витрати</t>
  </si>
  <si>
    <t>ТОВ "ЖЕК Забота"</t>
  </si>
  <si>
    <t>Послуги звязку</t>
  </si>
  <si>
    <t>ПАТ "Укртелеком"</t>
  </si>
  <si>
    <t>Послуги заправки картриджів</t>
  </si>
  <si>
    <t>ФОП Караяніді О.Є.</t>
  </si>
  <si>
    <t>Повірка трансформ. Струму низковольт.</t>
  </si>
  <si>
    <t>ДП "МНВЦСМС"</t>
  </si>
  <si>
    <t>Послуги у сфері інформатизації</t>
  </si>
  <si>
    <t>ФОП Цисарь Л.Г.</t>
  </si>
  <si>
    <t xml:space="preserve">Послуги з перевезення пасажирів </t>
  </si>
  <si>
    <t>ФОП Лакутіна А.І.</t>
  </si>
  <si>
    <t>Послуги тех. підтримки ПЗ</t>
  </si>
  <si>
    <t>ФОП Листопад Г.Г.</t>
  </si>
  <si>
    <t>Сертифікати ЄПЦ</t>
  </si>
  <si>
    <t>ТОВ "Центр сертифікації ключів "Україна"</t>
  </si>
  <si>
    <t>перевірка лічильника води</t>
  </si>
  <si>
    <t xml:space="preserve">Послуги з хімічної чистки килим. покриттів та одягу сцени </t>
  </si>
  <si>
    <t>ФОП Левченко І.В.</t>
  </si>
  <si>
    <t xml:space="preserve">Перезарядка вогнегасників </t>
  </si>
  <si>
    <t>ТОВ "Искобар"</t>
  </si>
  <si>
    <t>за навчання тех.експл.електр. устан.спожив. та з питань охорони праці</t>
  </si>
  <si>
    <t>ТОВ "Регіональний учбовий центр"</t>
  </si>
  <si>
    <t>Консультаційні послуги у сфері здійснення публічних закупівель товарів,робіт</t>
  </si>
  <si>
    <t>ТОВ" Навчально-консалтинговий центр"</t>
  </si>
  <si>
    <t xml:space="preserve">обробка даних та видача сертифіката відкритих ключів </t>
  </si>
  <si>
    <t>ТОВ "Центр сертифікації ключів"</t>
  </si>
  <si>
    <t xml:space="preserve">РАЗОМ </t>
  </si>
  <si>
    <t>Пилосос PHILIPS FC</t>
  </si>
  <si>
    <t>Праска GORENJE ST</t>
  </si>
  <si>
    <t>Стільці Розкладні Joker</t>
  </si>
  <si>
    <t>Маршрутізатор</t>
  </si>
  <si>
    <t>ММПК "Корабельний"</t>
  </si>
  <si>
    <t>Капітальний ремонт теплотраси Миколаївського міського палацу культури «Корабельний» по пр. Богоявленський, 328 в м. Миколаєві</t>
  </si>
  <si>
    <t>Будівельно-монтажний кооператив «Факел»</t>
  </si>
  <si>
    <t>Капітальний ремонт малого залу Миколаївського міського палацу культури «Корабельний» за адресою: м. Миколаїв, пр. Богоявленський, 328»</t>
  </si>
  <si>
    <t>Товариство з обмеженою відповідальністю "ГРІН ЛІС"</t>
  </si>
  <si>
    <t>Капітальний ремонт даху Миколаївського міського палацу культури «Корабельний» по пр. Жовтневий, 328 в м. Миколаєві</t>
  </si>
  <si>
    <t>ТОВ "Компанія "Нікон-Буд"</t>
  </si>
  <si>
    <t>Закінчення робіт,які були розпочаті в 2015 році</t>
  </si>
  <si>
    <t>Капітальний ремонт даху Миколаївського міського палацу культури «Корабельний» по пр. Жовтневий, 328 в м. Миколаєві (коригування)</t>
  </si>
  <si>
    <t>Всього:</t>
  </si>
  <si>
    <t>Світлодіодний сценічний прилад "рухома голова" Free Color  K 200</t>
  </si>
  <si>
    <t>ФОП Зільберштейн Р.Л.</t>
  </si>
  <si>
    <t>Генератор тумана</t>
  </si>
  <si>
    <t>ФОП Бондаренко Є.Є.</t>
  </si>
  <si>
    <t>Генератор диму з управлінням</t>
  </si>
  <si>
    <t>Мікрофон гарнітура</t>
  </si>
  <si>
    <t>Радіомікрофон</t>
  </si>
  <si>
    <t>Наголовний мікрофон</t>
  </si>
  <si>
    <t>Мультикор на катушці 50м 32 канала</t>
  </si>
  <si>
    <t>Поточний ремонт туалетів у Миколаївському міському палаці культури "Корабельний" за адресою:пр.Богоявленський,328 м.Миколаїв</t>
  </si>
  <si>
    <t>Технічний нагляд на об'єкт:"Поточний ремонт туалетів у Миколаївському міському палаці культури "Корабельний" за адресою:пр.Богоявленський,328 м.Миколаїв"</t>
  </si>
  <si>
    <t>ФОП Королюк М.А.</t>
  </si>
  <si>
    <t>Гідравлічна промивка системи опалення</t>
  </si>
  <si>
    <t>ДЄЗ "Корабел"</t>
  </si>
  <si>
    <t>Поточний ремонт каналізаційної мережі</t>
  </si>
  <si>
    <t>МКП "Миколаївводоканал"</t>
  </si>
  <si>
    <t>Оформлення святкового заходу (встановлення сценічного подіуму)</t>
  </si>
  <si>
    <t>ФОП Самохіна О.В.</t>
  </si>
  <si>
    <t>технічне обстеження будівлі ММПК "Корабельний" за адресою:м.Миколаїв,пр.Богоявленський,328</t>
  </si>
  <si>
    <t>ТОВ "Н.Проект-Тайм"</t>
  </si>
  <si>
    <t>Вогнебіозахистна обробка составом ДСА 1 сцени,колосників,подсцени</t>
  </si>
  <si>
    <t>Миколаївське обласне Спец РБП ПР</t>
  </si>
  <si>
    <t>Розробка веб-сайту</t>
  </si>
  <si>
    <t>ФОП Безнальчук А.В.</t>
  </si>
  <si>
    <t>Перезарядка вогнегасників,заміна комплекту</t>
  </si>
  <si>
    <t>Монтаж світлового обладнання</t>
  </si>
  <si>
    <t>Послуги з постачання компютерної системи управління "Парус",надання консультаційних послуг,технічна підтримка ПЗ "Парус ЗП",послуги з постачання примірників та пакетів оновлення "M.E.Doc"</t>
  </si>
  <si>
    <t>Заправка картриджів принтерів,технічне обслуговування картриджів</t>
  </si>
  <si>
    <t>ФОП Шляховський О.С.</t>
  </si>
  <si>
    <t>Вивіз ТПВ</t>
  </si>
  <si>
    <t>КП "Обрій-ДКП"</t>
  </si>
  <si>
    <t>Абонентна плата за використання платного сервісу "Кабінет Замовника"</t>
  </si>
  <si>
    <t>ДП "Зовнішторгвидав України" перейменоване надалі в ДП "Прозорро"</t>
  </si>
  <si>
    <t>Телекомунікаційні послуги</t>
  </si>
  <si>
    <t>Експертна оцінка нежитлових приміщень</t>
  </si>
  <si>
    <t>ТОВ "Миколаївська оціночна компанія"</t>
  </si>
  <si>
    <t>Електрониий цифровий підпис</t>
  </si>
  <si>
    <t>ТОВ "Центр сертифікації ключів Україна"</t>
  </si>
  <si>
    <t>Повірка манометрів,вакуометрів</t>
  </si>
  <si>
    <t>ДП "Миколаївстандартметрологія"</t>
  </si>
  <si>
    <t>Монтаж натяжних стель</t>
  </si>
  <si>
    <t>ФОП Богданов Б.Б.</t>
  </si>
  <si>
    <t>Чоботи робочі</t>
  </si>
  <si>
    <t>ФОП Полісьба П.В.</t>
  </si>
  <si>
    <t>2 пари</t>
  </si>
  <si>
    <t>робочий костюм чоловічий</t>
  </si>
  <si>
    <t>Колонки для компютеру</t>
  </si>
  <si>
    <t>ФОП Свербиус О.Ю.</t>
  </si>
  <si>
    <t>2 штуки</t>
  </si>
  <si>
    <t>телефонний апарат</t>
  </si>
  <si>
    <t>3 штуки</t>
  </si>
  <si>
    <t>Чайники електричні</t>
  </si>
  <si>
    <t>ТОВ "1001 Мелочь"</t>
  </si>
  <si>
    <t>Жалюзі вертикальні тканеві</t>
  </si>
  <si>
    <t>ФОП Жуковський В.Є.</t>
  </si>
  <si>
    <t>10 штук</t>
  </si>
  <si>
    <t>прасувальна доска</t>
  </si>
  <si>
    <t>Сушарки для білизни</t>
  </si>
  <si>
    <t>Електроточило</t>
  </si>
  <si>
    <t>ТОВ"Епіцентр К"</t>
  </si>
  <si>
    <t>Світловий прожектор Р 1810-А</t>
  </si>
  <si>
    <t>6 штук</t>
  </si>
  <si>
    <t>Калькулятори</t>
  </si>
  <si>
    <t>Конвектор електричний</t>
  </si>
  <si>
    <t>БПФ canon</t>
  </si>
  <si>
    <t>Монітор Phillips</t>
  </si>
  <si>
    <t>Шафа-купе для костюмів в танцювальний зал</t>
  </si>
  <si>
    <t>Шафа для вестибюлю</t>
  </si>
  <si>
    <t>ММПК "Молодіжний"</t>
  </si>
  <si>
    <t>Капітальний ремонт приміщень будівлі Миколаївського міського палацу культури "Молодіжний" за  адресою м. Миколаїв, вул. Васляєва, 1</t>
  </si>
  <si>
    <t>ТОВ "Південь - Будсервіс"</t>
  </si>
  <si>
    <t>Закінчення робіт розпочатих у 2015 році</t>
  </si>
  <si>
    <t>Технагляд за об'єктом "Капітальний ремонт приміщень будівлі Миколаївського міського палацу культури "Молодіжний" за  адресою м. Миколаїв, вул. Васляєва, 1"</t>
  </si>
  <si>
    <t>КП ММР "Капітальне будівництво міста Миколаєва"</t>
  </si>
  <si>
    <t>Авторський нагляд за обєктом "Капітальний ремонт приміщень будівлі Миколаївського міського палацу культури "Молодіжний" за  адресою м. Миколаїв, вул. Васляєва, 1"</t>
  </si>
  <si>
    <t>ФОП Павлов А.А</t>
  </si>
  <si>
    <t>Капітальний ремонт сантехнічних приміщень будинку  концертного залу Миколаївського міського палацу культури "Молодіжний" по пр. Жовтневому , 39 А у м. Миколаєві</t>
  </si>
  <si>
    <t>ТДВ "Миколаївський домобудівельний комбінат"</t>
  </si>
  <si>
    <t>Закінчення робіт розпочатих у 2014 році</t>
  </si>
  <si>
    <t>Технагляд за об'єктом: "Капітальний ремонт сантехнічних приміщень будинку  концертного залу Миколаївського міського палацу культури "Молодіжний" по пр. Жовтневому , 39 А у м. Миколаєві"</t>
  </si>
  <si>
    <t>Барабан маршовий GEWA 24"x12"</t>
  </si>
  <si>
    <t>ЧП "Сущенко В.П."</t>
  </si>
  <si>
    <t>7068,00*3шт.</t>
  </si>
  <si>
    <t>Комплект барабанов маршових GEWA 14"x10"</t>
  </si>
  <si>
    <t>Хатинка розбірна дерев’яна декоративна 3м*2,40м*2,84м</t>
  </si>
  <si>
    <t>ПП Іванов Д. Є.</t>
  </si>
  <si>
    <t>19950,00*4шт.</t>
  </si>
  <si>
    <t>Хатинка розбірна дерев’яна декоративна 8,20м*2,40м*2,84м</t>
  </si>
  <si>
    <t>Хатинка розбірна дерев’яна декоративна 2,40м*2,40м*2,84м</t>
  </si>
  <si>
    <t>15100,00*2шт.</t>
  </si>
  <si>
    <t>Верстат деревообробний комбінований, Stark, CWM-3050   105792#</t>
  </si>
  <si>
    <t>ФОП Кривицька Л.В.</t>
  </si>
  <si>
    <t>Станок сверлильный Jet JDR-34F, 220 В 082504#</t>
  </si>
  <si>
    <t>Субвенція</t>
  </si>
  <si>
    <t>Цифровий мікшер AllenHeath Qu 24 (з дистанційним приладом керування та кейсом)</t>
  </si>
  <si>
    <t>ФОП Сущенко А.В.</t>
  </si>
  <si>
    <t>РАЗОМ 192,990 державна субвенція - 187,200 співфінансування  з місцевого бюджету - 5,790</t>
  </si>
  <si>
    <t>Комбопідсилювач BUGERA 333-212</t>
  </si>
  <si>
    <t>Радіосистема мікрофонна SHURE BLX24/B58</t>
  </si>
  <si>
    <t>13845,00*5шт.</t>
  </si>
  <si>
    <t>Прилад освітлювальний Freecolor K60</t>
  </si>
  <si>
    <t>15293,00*8шт.</t>
  </si>
  <si>
    <t>РАЗОМ 184,994 державна субвенція - 179,444 співфінансування  з місцевого бюджету - 5,550</t>
  </si>
  <si>
    <t>Прилад освітлювальний Freecolor Р1815*2</t>
  </si>
  <si>
    <t>8950,00*7шт.</t>
  </si>
  <si>
    <t>Саксофон - тенор ODYSSEY PREMIERE OTS800 T</t>
  </si>
  <si>
    <t>ФОП Воронцов І.О.</t>
  </si>
  <si>
    <t>РАЗОМ 197,500 державна субвенція - 191,575 співфінансування  з місцевого бюджету - 5,925</t>
  </si>
  <si>
    <t>Саксофон - тенор Conn TS710</t>
  </si>
  <si>
    <t>Саксофон - сопрано</t>
  </si>
  <si>
    <t>Саксофон - баритон Roy Benson BS-302</t>
  </si>
  <si>
    <t>Саксофон - альт Cupid</t>
  </si>
  <si>
    <t>19700,00*2шт.</t>
  </si>
  <si>
    <t>Пасажирський автобус IVECO S.P.A.65C17</t>
  </si>
  <si>
    <t>ТОВ "КД-ТРЕЙД"</t>
  </si>
  <si>
    <t>субв.1</t>
  </si>
  <si>
    <t xml:space="preserve"> Державна субвенція - 1391,906 співфінансування  з місцевого бюджету - 43,049</t>
  </si>
  <si>
    <t>Пасажирський автобус марки SCANIA CENTURY (vin/code YS2K6X20001873698)</t>
  </si>
  <si>
    <t>субв.2</t>
  </si>
  <si>
    <t>Державна субвенція - 4997,000 співфінансування  з місцевого бюджету - 150,000</t>
  </si>
  <si>
    <t>Тент</t>
  </si>
  <si>
    <t>ФОП Шевченко О.В.</t>
  </si>
  <si>
    <t>8950,00*4шт.</t>
  </si>
  <si>
    <t>РАЗОМ 98,700 державна субвенція - 95,739 співфінансування  з місцевого бюджету - 2,961</t>
  </si>
  <si>
    <t>Костюм сценічний пір’яний "Антре"</t>
  </si>
  <si>
    <t>ФОП Самчик Т.В.</t>
  </si>
  <si>
    <t>7580,00*4шт.</t>
  </si>
  <si>
    <t>РАЗОМ 198,000 державна субвенція - 192,060 співфінансування  з місцевого бюджету - 5,940</t>
  </si>
  <si>
    <t>10501,00*2шт.</t>
  </si>
  <si>
    <t>12300,00*2шт.</t>
  </si>
  <si>
    <t>Костюм сценічний "Бразилія"</t>
  </si>
  <si>
    <t>8500,00*4шт.</t>
  </si>
  <si>
    <t>Костюм сценічний народний жіночий "Покуття"</t>
  </si>
  <si>
    <t>6150,00*8шт.</t>
  </si>
  <si>
    <t>Костюм сценічний "Сніговик"</t>
  </si>
  <si>
    <t>Одяг для сцени</t>
  </si>
  <si>
    <t xml:space="preserve"> Державна субвенція - 193,758 співфінансування  з місцевого бюджету - 5,993</t>
  </si>
  <si>
    <t>Сценічний подіум</t>
  </si>
  <si>
    <t>Державна субвенція - 190,120 співфінансування  з місцевого бюджету - 5,880</t>
  </si>
  <si>
    <t>Поточний ремонт  фасаду будівлі ММПК "Молодіжний" по  пр. Жовтневому, 39- А</t>
  </si>
  <si>
    <t>Технагляд за об'єктом "Поточний ремонт  фасаду будівлі за адресою проспект Жовтневий, 39- А"</t>
  </si>
  <si>
    <t>Поточний ремонт даху та фасаду будівлі за адресою проспект Богоявленський, 39- А</t>
  </si>
  <si>
    <t>Технагляд за об'єктом: "Поточний ремонт даху та фасаду будівлі за адресою проспект Богоявленський, 39- А"</t>
  </si>
  <si>
    <t>Послуги перевезення пасажирів</t>
  </si>
  <si>
    <t>Послуги з пошиття костюмів з матеріалу замовника</t>
  </si>
  <si>
    <t>ФОП Аліфанов О.В.</t>
  </si>
  <si>
    <t>ММПКтаУП</t>
  </si>
  <si>
    <t>Акустична система Behringer D212 DWH в комплекті 2 шт.</t>
  </si>
  <si>
    <t>ТОВ "Еквіп-Хаб"</t>
  </si>
  <si>
    <t>Багатофункціональний пристрій Canon 1 шт.</t>
  </si>
  <si>
    <t>ФОП Міхалевич</t>
  </si>
  <si>
    <t>Компьютер Intel Pentium G3260, Gigabyte GA-H81M-s1,4096 MB,1TB,DVD-RW,ATX 430W 1 шт.</t>
  </si>
  <si>
    <t>Мікшерний пульт Yamaha MG 10XU в комплекті 1 шт.</t>
  </si>
  <si>
    <t>Мультимедійний проектор з екраном 1 шт.</t>
  </si>
  <si>
    <t>Ноутбук Lenovo IdeaPad 100-15IBD 15,6, 1366x768/Core i3-5005U 2.0Gz/03Y 4gb 1600/HDD,500Gb 1 шт.</t>
  </si>
  <si>
    <t>Радіосистема Shure BLX 24/HG58 в комплекті 2 шт.</t>
  </si>
  <si>
    <t>Фотоапарат Nikon D3300 1 шт.</t>
  </si>
  <si>
    <t>вул. Спаська,44 заміна електропроводки, монтаж</t>
  </si>
  <si>
    <t>ФОП Половенко</t>
  </si>
  <si>
    <t>вул. Спаська,44 поточний ремонт теплотраси</t>
  </si>
  <si>
    <t>ТОВ "Траконта"</t>
  </si>
  <si>
    <t>заправка картриджа</t>
  </si>
  <si>
    <t>оренда приміщення</t>
  </si>
  <si>
    <t>Лютер. Церква</t>
  </si>
  <si>
    <t>поточн.ремонт комп.техніки</t>
  </si>
  <si>
    <t>ФОП "Карбовський"</t>
  </si>
  <si>
    <t>телеком. послуги</t>
  </si>
  <si>
    <t>Укртелеком</t>
  </si>
  <si>
    <t>рекламні послуги</t>
  </si>
  <si>
    <t>ФОП Деменська</t>
  </si>
  <si>
    <t>т/о кондиціонерів</t>
  </si>
  <si>
    <t>ФОП Петров</t>
  </si>
  <si>
    <t>перевірка вентиляції</t>
  </si>
  <si>
    <t>ПАТ "Миколаївгаз"</t>
  </si>
  <si>
    <t>гідравлічні випробування</t>
  </si>
  <si>
    <t>техн.сервіс конд.котла</t>
  </si>
  <si>
    <t>ТОВ "Енергокомфорт"</t>
  </si>
  <si>
    <t>перезаряд. вогнегасників</t>
  </si>
  <si>
    <t>Мик.обл.Спец.РБП ПР</t>
  </si>
  <si>
    <t>послуги прогр. забезпеч</t>
  </si>
  <si>
    <t>ТОВ "Парус-Еденение"</t>
  </si>
  <si>
    <t>перевірка побут. сигналіз.</t>
  </si>
  <si>
    <t>навчання посадових осіб</t>
  </si>
  <si>
    <t>Регион. учеб.центр</t>
  </si>
  <si>
    <t>технагляд</t>
  </si>
  <si>
    <t>КП ММР "Капіт.будівництво"</t>
  </si>
  <si>
    <t>зправка лазерного принтера</t>
  </si>
  <si>
    <t>ПП "Сервис-ТС"</t>
  </si>
  <si>
    <t>проф. електровим.</t>
  </si>
  <si>
    <t>ПП "Ділон"</t>
  </si>
  <si>
    <t>поточн.ремонт конт.</t>
  </si>
  <si>
    <t xml:space="preserve">ФОП Половенко </t>
  </si>
  <si>
    <t>пред.проект обстеження</t>
  </si>
  <si>
    <t>кронування дерев</t>
  </si>
  <si>
    <t>ТОВ Миколаївзеленгосп</t>
  </si>
  <si>
    <t>монтаж профіля</t>
  </si>
  <si>
    <t>виготовлення відеороліка</t>
  </si>
  <si>
    <t>ФОП Процешин</t>
  </si>
  <si>
    <t>"зовнішній жорсткий диск 2.5"1TЬ GOODRAM 1 шт.</t>
  </si>
  <si>
    <t>концертне плаття 1 шт.</t>
  </si>
  <si>
    <t>ФОП Пятак</t>
  </si>
  <si>
    <t>костюми 4 шт.</t>
  </si>
  <si>
    <t>чохли на стільці 28 шт.</t>
  </si>
  <si>
    <t>шурупокрут акумуляторний (Дніпро М)</t>
  </si>
  <si>
    <t>ФОП Кравчук</t>
  </si>
  <si>
    <t>Дитяча школа мистецтв №2</t>
  </si>
  <si>
    <t>Виконання робіт з технічного нагляду за обєктом "Капітальний ремонт ДШМ №2 за адресою м.Миколаїв пр.Богоявленський.332"</t>
  </si>
  <si>
    <t>КМ ММР "Капітальне будівництво міста Миколаєва"</t>
  </si>
  <si>
    <t>Здійснення авторського нагляду по обєкту  "Капітальний ремонт ДШМ №2 за адресою м.Миколаїв пр.Богоявленський.332"</t>
  </si>
  <si>
    <t>ТОВ "Альянс"</t>
  </si>
  <si>
    <t>Розроблення проектно-кошторисної документації на  "Капітальний ремонт ДШМ №2 за адресою м.Миколаїв пр.Богоявленський.332"</t>
  </si>
  <si>
    <t>Капітальний ремонт приміщень ДШМ №2 за адресою пр.Богояленський.332 в Миколаєві</t>
  </si>
  <si>
    <t>Капітальний ремонт фасадів ДШМ №2 за адресою пр.Богояленський.332 в Миколаєві</t>
  </si>
  <si>
    <t>Комп'ютерна система   AMD Premium</t>
  </si>
  <si>
    <t>ФОП Дегтяр Ю.В.</t>
  </si>
  <si>
    <t>Цифровое фортопиано</t>
  </si>
  <si>
    <t>ФОП Сущенко В.П.</t>
  </si>
  <si>
    <t>Скрипка Gewa Allegro</t>
  </si>
  <si>
    <t>Ксилофон Ludwid</t>
  </si>
  <si>
    <t>Cort AC 250</t>
  </si>
  <si>
    <t>Cort AC 520C</t>
  </si>
  <si>
    <t>Бандура прима з механ.пер.тон.</t>
  </si>
  <si>
    <t>Домра прима нора</t>
  </si>
  <si>
    <t>Акордіон WEL/</t>
  </si>
  <si>
    <t>Освітлювальний прилад ледпар</t>
  </si>
  <si>
    <t>Акустична система Кларіті</t>
  </si>
  <si>
    <t>Акустична система МАГ 150</t>
  </si>
  <si>
    <t>Усилитель</t>
  </si>
  <si>
    <t>Пульт микшерний Ален</t>
  </si>
  <si>
    <t>Мультикор</t>
  </si>
  <si>
    <t>Радіосистема микрорфоная</t>
  </si>
  <si>
    <t>Ібанез т30 комбоусилітель для гітари</t>
  </si>
  <si>
    <t>Фендер фортман 25 комбоус.</t>
  </si>
  <si>
    <t>Багатофункц. Пристр.кенон МФ217</t>
  </si>
  <si>
    <t>Ноутбук АСУС Я540</t>
  </si>
  <si>
    <t>Комп.сист.АМД</t>
  </si>
  <si>
    <t xml:space="preserve">Мультимедійний проектор </t>
  </si>
  <si>
    <t>Телевізор ЛДЖ</t>
  </si>
  <si>
    <t>Римська завіса с  лабрикеном</t>
  </si>
  <si>
    <t>ПП Іваницький В.Е.</t>
  </si>
  <si>
    <t>поточний ремонт приміщень ДШМ №2 по пр.Богоявленському.332</t>
  </si>
  <si>
    <t>ТОВ Південь - Будсервіс</t>
  </si>
  <si>
    <t>Послуги з пошиття куліс ті їх монтаж</t>
  </si>
  <si>
    <t>ФОП Іваницький В.Е.</t>
  </si>
  <si>
    <t>Електромонтажні роботи по встановленню охоронної сигналізації у приміщенні ДШМ №2</t>
  </si>
  <si>
    <t>ТОВ "Оріон- Юг"</t>
  </si>
  <si>
    <t>БУ КІК ДМ "Казка"</t>
  </si>
  <si>
    <t xml:space="preserve"> Розробка проектно-кошторисної документації "Реконструкція павільйону-кафе з підвалом в культурно - ігровий комплекс"</t>
  </si>
  <si>
    <t>ФОП Зубик А.В.</t>
  </si>
  <si>
    <t>Експертиза проектної документації</t>
  </si>
  <si>
    <t>ДП "Спеціалізована державна експертна організація"</t>
  </si>
  <si>
    <t>Реконструкція павільйону – кафе з підвалом під культурно – ігровий павільйон БУ ММР КІК ДМ «Казка» по вул. Декабристів, 38а в м. Миколаєві</t>
  </si>
  <si>
    <t>ТОВ "Антарес-БУД"</t>
  </si>
  <si>
    <t>Технічний нагляд</t>
  </si>
  <si>
    <t>КП "Капітальне будівництво м. Миколаєва"</t>
  </si>
  <si>
    <t>Авторський нагляд</t>
  </si>
  <si>
    <t>Світлодіодні гірлянди</t>
  </si>
  <si>
    <t>ФОП Кулєшов Є.Ю.</t>
  </si>
  <si>
    <t>Ялинкові прикраси</t>
  </si>
  <si>
    <t>ФОП Лисий В.Я.</t>
  </si>
  <si>
    <t>Ялинка</t>
  </si>
  <si>
    <t>Стовпи електромереж</t>
  </si>
  <si>
    <t>ФОП Білий А.О.</t>
  </si>
  <si>
    <t>Вуличні ліхтарі</t>
  </si>
  <si>
    <t>Комп'ютер в зборі</t>
  </si>
  <si>
    <t>ФОП Басов-Полтавцов С.П.</t>
  </si>
  <si>
    <t>Дитяча альтанка</t>
  </si>
  <si>
    <t>ТОВ "Дитячі та спортивні майданчики"</t>
  </si>
  <si>
    <t>Сценічний костюм</t>
  </si>
  <si>
    <t>ТОВ Відіна О.В.</t>
  </si>
  <si>
    <t>Атракціон "Електричний паровоз"</t>
  </si>
  <si>
    <t>ФОП ВІРІЧ Є.А.</t>
  </si>
  <si>
    <t>демонтаж непридатних конструкцій мачт, монтаж додатковий конструкцій мачт, грунтовка і фарбування мачт</t>
  </si>
  <si>
    <t>ТОВ "Альпсервіс-Юг"</t>
  </si>
  <si>
    <t>розбирання асфальтобетонного та щебневих покриттів,улаштування підстильних та вирівнювальних основ з піску, улаштування покриттів з  дрібнорозмірних фігурних елементів</t>
  </si>
  <si>
    <t>ФОП Колічко О.М.</t>
  </si>
  <si>
    <t>установлення та озбирання зовнішніх металевих трубчастих інвентарних риштувань, оренда риштувань</t>
  </si>
  <si>
    <t>монтаж такелажної системи для підйому і спуску вітрил,заміна непридатних тросів, виготовлення і приварювання "кнехтів", натяжка і фарбування тросів</t>
  </si>
  <si>
    <t>демонтаж плитки, демонтаж перебриків, улаштування вертикальної ізоляції, улаштування покриття з дрібнорозбірних фігурних елементів мощення, улаштування перебриків</t>
  </si>
  <si>
    <t>ПГО "Центр виробничої практики інвалідів АТО "Літопис"</t>
  </si>
  <si>
    <t>поточний ремонт водяної колонки  наземного туалету на території дитячого містечка</t>
  </si>
  <si>
    <t>ТОВ "Терра Ника"</t>
  </si>
  <si>
    <t>Послуги з охорони території</t>
  </si>
  <si>
    <t>ТОВ ОДА "Кронус-ФГ"</t>
  </si>
  <si>
    <t>Обслуговування пожежної сигналізації</t>
  </si>
  <si>
    <t>ТОВ "Вулкан - Н"</t>
  </si>
  <si>
    <t>Розробка проектної документації концепції розвитку Дитячого містечка "Казка"</t>
  </si>
  <si>
    <t>ФОП Канівченко В.Г.</t>
  </si>
  <si>
    <t>Поточний ремонт оргтехніки</t>
  </si>
  <si>
    <t>Послуги з технічного обслуговування заходів до дня народження ДМ "Казка"</t>
  </si>
  <si>
    <t>Послуги з проведення технічної інвентаризації</t>
  </si>
  <si>
    <t>ТОВ "Укрюртех"</t>
  </si>
  <si>
    <t>Послуги з обстеження технічного стану споруди "Корабель" з басейном</t>
  </si>
  <si>
    <t>ФОП Новікова О.П.</t>
  </si>
  <si>
    <t xml:space="preserve">Послуги з обстеження технічного стану споруди "Водойом" </t>
  </si>
  <si>
    <t>Інформаційно - консультаційні послуги</t>
  </si>
  <si>
    <t>ФОП Лук'яненко А.В.</t>
  </si>
  <si>
    <t>Технічне обслуговування каруселі</t>
  </si>
  <si>
    <t>ФОП Магомет В.А.</t>
  </si>
  <si>
    <t>Послуги з вивезення ТВП</t>
  </si>
  <si>
    <t>ДП "Корунд - Х"</t>
  </si>
  <si>
    <t>Ремонт принтера</t>
  </si>
  <si>
    <t>СПД Логвіненко В.А.</t>
  </si>
  <si>
    <t>КП "Миколаївкомунтранс"</t>
  </si>
  <si>
    <t>Послуги з проведення концерту</t>
  </si>
  <si>
    <t>Миколаївська обласна філармонія</t>
  </si>
  <si>
    <t>Технічне обслуговування заходів</t>
  </si>
  <si>
    <t>Заправка картріджів</t>
  </si>
  <si>
    <t>Перезарядка вогнегасників</t>
  </si>
  <si>
    <t>ТОВ "Рятувальні засоби"</t>
  </si>
  <si>
    <t>Розробка проектної документації комплексне впорядкування інженерно-технічних комунікацій</t>
  </si>
  <si>
    <t xml:space="preserve">Технічне обслуговування </t>
  </si>
  <si>
    <t>Технічне обслуговування заходу</t>
  </si>
  <si>
    <t>ФОП Відіна О.В.</t>
  </si>
  <si>
    <t>Експертиза атракціонів</t>
  </si>
  <si>
    <t>Миколаївський експертно - технічний центр</t>
  </si>
  <si>
    <t>КУ  Миколаївський  зоопарк. Будівництво приміщення  для  жирафів  з літніми  вольєрами  за  адресою :   площа М.Леонтовича, 1 в м. Миколаєві</t>
  </si>
  <si>
    <t>ТОВ "Миколаївміськбуд"</t>
  </si>
  <si>
    <t>Технічний  нагляд.</t>
  </si>
  <si>
    <t>КП "Капітальне будівництво м.Миколаєва"</t>
  </si>
  <si>
    <t>Авторський  нагляд</t>
  </si>
  <si>
    <t>ТОВ "Миколаїв -Проект"</t>
  </si>
  <si>
    <t>ВСЬОГО</t>
  </si>
  <si>
    <t xml:space="preserve">КУ  Миколаївський  зоопарк. Будівництво оглядового  пішохідного  містка  між  вольєрами  слоновника  та  жирафника   за  адресою :  пл. М.Леонтовича, 1 в м.Миколаєві </t>
  </si>
  <si>
    <t>ТОВ Будівельна  компанія  "Миколаївміськбуд"</t>
  </si>
  <si>
    <t>КУ Миколаївський зоопарк</t>
  </si>
  <si>
    <t xml:space="preserve">Система  відеоспостереження       </t>
  </si>
  <si>
    <t>ТОВ "Конус Україна"</t>
  </si>
  <si>
    <t>КП ММР Миколаївські парки"</t>
  </si>
  <si>
    <t>Громадська вбиральня -вигот.проектно-кошт.докум кап.рем.</t>
  </si>
  <si>
    <t>ПП Домарацький О.В.</t>
  </si>
  <si>
    <t>Мікрофон Мірго MR-515</t>
  </si>
  <si>
    <t>Магазин "Музичний світ"</t>
  </si>
  <si>
    <t>Посилювач PEAVEY(2 од.)</t>
  </si>
  <si>
    <t>ФОП"Шалахман С.Г.</t>
  </si>
  <si>
    <t>Активна акустична система " CTMINI"</t>
  </si>
  <si>
    <t>Тренажер для ніг горизонтальний</t>
  </si>
  <si>
    <t>ФОП "Кондратюк С.М."</t>
  </si>
  <si>
    <t>Тренажер "Лижник"</t>
  </si>
  <si>
    <t>Тренажер "Повітряний ходок"</t>
  </si>
  <si>
    <t>Тренажер "Рукохід"</t>
  </si>
  <si>
    <t>Карусель зі штурвалом КО-4,01</t>
  </si>
  <si>
    <t>ТОВ  "НВК  "ГОЙДА"</t>
  </si>
  <si>
    <t xml:space="preserve">Гойдалка з можлив. Заїзду на інвалідному кріслі </t>
  </si>
  <si>
    <t>Усього</t>
  </si>
  <si>
    <t>Охорона  майна та території парку "Ліски"</t>
  </si>
  <si>
    <t>ТОВ "ВІКІНГ-ЛЮКС"</t>
  </si>
  <si>
    <t>ТОВ "УКРТЕЛЕКОМ"</t>
  </si>
  <si>
    <t>Експертне обстеження та ТО атракціонів</t>
  </si>
  <si>
    <t>ПрАТ "МЕТЦ2</t>
  </si>
  <si>
    <t>Навчання на курсах охорони праці</t>
  </si>
  <si>
    <t>НЦ ТОВ "МІПРіО"</t>
  </si>
  <si>
    <t>Навч. та атестація посад. осіб за курсом ПБЕЕС ,ПТЕЕС</t>
  </si>
  <si>
    <t>НУК ім.Адмірала Макарова"</t>
  </si>
  <si>
    <t>Єл.техн. Замірив  адмін.будівля та на атракціонах</t>
  </si>
  <si>
    <t>ТОВ "НК-ЕНЕРГІЯ-ПІВДЕНЬ"</t>
  </si>
  <si>
    <t>Технічне обслуговування вогнегасників</t>
  </si>
  <si>
    <t>ФОП "Білов В.М."</t>
  </si>
  <si>
    <t>Вивіз ТБО з території парку "Ліски"</t>
  </si>
  <si>
    <t>ДП  "КОРУНД-Х"</t>
  </si>
  <si>
    <t>Послуги з прибирання території парку "Перемога"</t>
  </si>
  <si>
    <t>ФОП Савенок Інна Володимирівна</t>
  </si>
  <si>
    <t>Вивіз ТБО з території парку "ПЕРЕМОГА""</t>
  </si>
  <si>
    <t>ДП КП "Миколаївкомунтранс"</t>
  </si>
  <si>
    <t xml:space="preserve"> КП ММР "Миколаївські парки"</t>
  </si>
  <si>
    <t xml:space="preserve"> Вугілля ДГО-2480кг.</t>
  </si>
  <si>
    <t>ПП Савенок О.М.</t>
  </si>
  <si>
    <t>Труба проф.  25х25х2.0  6.04м</t>
  </si>
  <si>
    <t>Філія №1 «Металлоцентр СавВАТС» ТОВ «СавВАТС»</t>
  </si>
  <si>
    <t>Труба роф. 30х30х2.0  6.09м.</t>
  </si>
  <si>
    <t>Труба ВГП dy 20х2.5      6.05м</t>
  </si>
  <si>
    <t>Труба ВГП dy 25х2.8      6.02м</t>
  </si>
  <si>
    <t>Філія №1 «Металлоцентр СавВАТС» ТОВ «СавВАТС</t>
  </si>
  <si>
    <t xml:space="preserve"> Рійка обрізна 70х50-6000 - 50од.</t>
  </si>
  <si>
    <t>ПП Мудриченко В.В.</t>
  </si>
  <si>
    <t>Граблі з держаком- 5од..</t>
  </si>
  <si>
    <t>ТОВ «Епіцентр К»</t>
  </si>
  <si>
    <t>Граблі віяльні 22-зубці з держаком 120см-5щт.</t>
  </si>
  <si>
    <t>Рукавички трикотажні з ПВХ крапкою 3DMaster – 46Т р. 9  -  37пар</t>
  </si>
  <si>
    <t>Рукавички трикотажні з ПВХ крапкою 3DMaster – 60ТТ р. 10 - 10пар</t>
  </si>
  <si>
    <t>Тачка двоколісна Т-34 - 1од.</t>
  </si>
  <si>
    <t>Цвяхі будівельні, DIN 1151 без покриття 6,0х200 (уп.-3кг.)</t>
  </si>
  <si>
    <t>Цвяхі будівельні, DIN 1151 без покриття 5,0х150 (уп.-3кг.)</t>
  </si>
  <si>
    <t>Цвяхі будівельні, DIN 1151 без покриття 2,0х120 (уп.-2кг.)</t>
  </si>
  <si>
    <t>Цвяхі будівельні, DIN 1151 без покриття 3,4х80 (уп.-2кг.)</t>
  </si>
  <si>
    <t>Цвяхі будівельні, DIN 1151 без покриття 4,2х100 (уп.-1кг.)</t>
  </si>
  <si>
    <t>Цемент 400 25кг  -  20 од..</t>
  </si>
  <si>
    <t>Рулетка 8мх25мм Shiftlock TOPEX 27C308- 1 од.</t>
  </si>
  <si>
    <t>Терпуг  тригранний 250мм №1 ЛуШЗ 2183-2од.</t>
  </si>
  <si>
    <t>Терпуг  тригранний 250мм №2 ЛуШЗ 2183-2од.</t>
  </si>
  <si>
    <t>Замок навісний ЧАЗ ВС 2А - 1од.</t>
  </si>
  <si>
    <t>Замок навісний ЧАЗ ВС- М1 - 1од..</t>
  </si>
  <si>
    <t>ТОВ «Епіцентр К</t>
  </si>
  <si>
    <t>Замок навісний  ВС1- ДЧ  -  1од.</t>
  </si>
  <si>
    <t>Євроциліндр для дверей MVM P6E30/30 (анг.ключ) SB мат. латунь 5 ключів--2 од.</t>
  </si>
  <si>
    <t>Мастило 2-х тактне АL-KO/ 1л.  -  2од.</t>
  </si>
  <si>
    <t>Уайт-Спірит Д 0,9л. ТМ   - 10од.</t>
  </si>
  <si>
    <t>Уайт-Спірит 0,5л. Зебра  -  10од.</t>
  </si>
  <si>
    <t>Пензель плоский 2ТМ Темпо - 10од.</t>
  </si>
  <si>
    <t>Пензель світлий Щетина 2  Темпо  -  5од.</t>
  </si>
  <si>
    <t>Органайзер 2304х141х34мм прозорий  - 1од.</t>
  </si>
  <si>
    <t>тис.грн.</t>
  </si>
  <si>
    <r>
      <t xml:space="preserve">Перелік  об’єктів з капітальних ремонтів, реконструкції та реставрації які проведені у 2016 році за рахунок коштів </t>
    </r>
    <r>
      <rPr>
        <b/>
        <i/>
        <sz val="16"/>
        <rFont val="Times New Roman"/>
        <family val="1"/>
      </rPr>
      <t>бюджету розвитку</t>
    </r>
    <r>
      <rPr>
        <b/>
        <sz val="16"/>
        <rFont val="Times New Roman"/>
        <family val="1"/>
      </rPr>
      <t xml:space="preserve"> по галузі "Культура"</t>
    </r>
  </si>
  <si>
    <r>
      <t xml:space="preserve">Перелік придбаного обладнання і предметів довгострокового користування, яке придбано у 2016 році за рахунок коштів </t>
    </r>
    <r>
      <rPr>
        <b/>
        <i/>
        <sz val="16"/>
        <color indexed="8"/>
        <rFont val="Times New Roman"/>
        <family val="1"/>
      </rPr>
      <t>бюджету розвитку</t>
    </r>
    <r>
      <rPr>
        <b/>
        <sz val="16"/>
        <color indexed="8"/>
        <rFont val="Times New Roman"/>
        <family val="1"/>
      </rPr>
      <t xml:space="preserve"> по галузі "Культура"</t>
    </r>
  </si>
  <si>
    <t>Кульбакінський будинок культури</t>
  </si>
  <si>
    <t xml:space="preserve">ТОВ Геліос-2010               </t>
  </si>
  <si>
    <t>попередня опл  вик проектно-коштор документ та експертКульбБК;Дог 113-00-16 20.05.16 Рах 24 20.05.16;безПДВ.</t>
  </si>
  <si>
    <t xml:space="preserve">ТОВ Н Проект-Тайм             </t>
  </si>
  <si>
    <t>тех нагляд за кап рем стелі сцени глядач зали заміна вікон буд КульбБК;Дог 67/16 29.07.16 Акт 1 16.12.16;ПДВ-1140,15.</t>
  </si>
  <si>
    <t xml:space="preserve">КПММР КапБуд                  </t>
  </si>
  <si>
    <t>Великокорениський будинок культури</t>
  </si>
  <si>
    <t>видача техумов на водокористування та водовідведення кап ремВКорБК;Дог 11 01.11.16 Акт В-00001192 01.11.16;ПДВ-111,13.</t>
  </si>
  <si>
    <t xml:space="preserve">Упркультури 510               
МКП Миколаївводоканал         </t>
  </si>
  <si>
    <t>експерт проект документ част міцн надійн довговічн обєкта буд Кап ремВ КорБК;Дог 15-0792-16 15.12.16 Акт 15-0792-16 19.12.16;ПДВ-1413,08.</t>
  </si>
  <si>
    <t xml:space="preserve">Упркультури 510               
ДП Укрдержбудексперт          </t>
  </si>
  <si>
    <t>попередня опл за вик проектно кошторис документ Кап рем ВКор БК;Дог 19/16 01.11.16 Р/ф СФ-0000070 01.11.16;безПДВ.</t>
  </si>
  <si>
    <t xml:space="preserve">Упркультури 510               
ТОВ Автограф-Н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</si>
</sst>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  <numFmt numFmtId="170" formatCode="#,##0.000"/>
    <numFmt numFmtId="171" formatCode="#,##0.000&quot;р.&quot;"/>
    <numFmt numFmtId="172" formatCode="0.00000"/>
    <numFmt numFmtId="173" formatCode="0.0000"/>
  </numFmts>
  <fonts count="41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10" xfId="59" applyFont="1" applyBorder="1" applyAlignment="1">
      <alignment horizontal="center" vertical="top" wrapText="1"/>
      <protection/>
    </xf>
    <xf numFmtId="0" fontId="3" fillId="0" borderId="0" xfId="59" applyFont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59" applyFont="1" applyBorder="1" applyAlignment="1">
      <alignment horizontal="center"/>
      <protection/>
    </xf>
    <xf numFmtId="0" fontId="3" fillId="0" borderId="0" xfId="59" applyFont="1" applyBorder="1">
      <alignment/>
      <protection/>
    </xf>
    <xf numFmtId="0" fontId="2" fillId="0" borderId="11" xfId="59" applyFont="1" applyBorder="1" applyAlignment="1">
      <alignment wrapText="1"/>
      <protection/>
    </xf>
    <xf numFmtId="0" fontId="2" fillId="0" borderId="0" xfId="59" applyFont="1" applyBorder="1" applyAlignment="1">
      <alignment horizontal="center" wrapText="1"/>
      <protection/>
    </xf>
    <xf numFmtId="0" fontId="5" fillId="0" borderId="10" xfId="59" applyFont="1" applyBorder="1" applyAlignment="1">
      <alignment horizontal="center" vertical="top" wrapText="1"/>
      <protection/>
    </xf>
    <xf numFmtId="0" fontId="5" fillId="0" borderId="10" xfId="54" applyFont="1" applyBorder="1" applyAlignment="1">
      <alignment horizontal="center" vertical="top" wrapText="1"/>
      <protection/>
    </xf>
    <xf numFmtId="0" fontId="5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/>
    </xf>
    <xf numFmtId="0" fontId="2" fillId="0" borderId="0" xfId="59" applyFont="1" applyBorder="1" applyAlignment="1">
      <alignment wrapText="1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vertical="center" wrapText="1"/>
      <protection/>
    </xf>
    <xf numFmtId="0" fontId="5" fillId="0" borderId="10" xfId="59" applyFont="1" applyBorder="1" applyAlignment="1">
      <alignment horizontal="left" vertical="top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wrapText="1"/>
    </xf>
    <xf numFmtId="168" fontId="5" fillId="0" borderId="10" xfId="59" applyNumberFormat="1" applyFont="1" applyBorder="1" applyAlignment="1">
      <alignment horizontal="center" vertical="center" wrapText="1"/>
      <protection/>
    </xf>
    <xf numFmtId="168" fontId="5" fillId="2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5" fillId="0" borderId="10" xfId="59" applyFont="1" applyBorder="1" applyAlignment="1">
      <alignment vertical="center" wrapText="1"/>
      <protection/>
    </xf>
    <xf numFmtId="0" fontId="23" fillId="0" borderId="1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justify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59" applyFont="1" applyBorder="1" applyAlignment="1">
      <alignment horizontal="center" vertical="top" wrapText="1"/>
      <protection/>
    </xf>
    <xf numFmtId="0" fontId="5" fillId="0" borderId="0" xfId="59" applyFont="1" applyFill="1" applyBorder="1" applyAlignment="1">
      <alignment horizontal="center" vertical="top" wrapText="1"/>
      <protection/>
    </xf>
    <xf numFmtId="0" fontId="3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0" xfId="59" applyFont="1" applyBorder="1" applyAlignment="1">
      <alignment vertical="top" wrapText="1"/>
      <protection/>
    </xf>
    <xf numFmtId="0" fontId="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68" fontId="5" fillId="0" borderId="10" xfId="59" applyNumberFormat="1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left"/>
    </xf>
    <xf numFmtId="168" fontId="5" fillId="0" borderId="10" xfId="0" applyNumberFormat="1" applyFont="1" applyBorder="1" applyAlignment="1">
      <alignment/>
    </xf>
    <xf numFmtId="168" fontId="28" fillId="0" borderId="1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68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170" fontId="5" fillId="0" borderId="10" xfId="0" applyNumberFormat="1" applyFont="1" applyBorder="1" applyAlignment="1">
      <alignment horizontal="center" vertical="top"/>
    </xf>
    <xf numFmtId="0" fontId="5" fillId="0" borderId="13" xfId="59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57" applyFont="1" applyBorder="1" applyAlignment="1">
      <alignment horizontal="left" vertical="center" wrapText="1"/>
      <protection/>
    </xf>
    <xf numFmtId="2" fontId="3" fillId="0" borderId="0" xfId="0" applyNumberFormat="1" applyFont="1" applyBorder="1" applyAlignment="1">
      <alignment horizontal="center"/>
    </xf>
    <xf numFmtId="0" fontId="24" fillId="0" borderId="0" xfId="55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42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37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wrapText="1"/>
    </xf>
    <xf numFmtId="169" fontId="28" fillId="0" borderId="10" xfId="0" applyNumberFormat="1" applyFont="1" applyBorder="1" applyAlignment="1">
      <alignment horizontal="center"/>
    </xf>
    <xf numFmtId="0" fontId="30" fillId="0" borderId="0" xfId="55" applyFont="1" applyFill="1" applyBorder="1" applyAlignment="1">
      <alignment horizontal="center" vertical="center" wrapText="1"/>
      <protection/>
    </xf>
    <xf numFmtId="0" fontId="28" fillId="0" borderId="0" xfId="59" applyFont="1" applyBorder="1" applyAlignment="1">
      <alignment horizontal="center" wrapText="1"/>
      <protection/>
    </xf>
    <xf numFmtId="0" fontId="28" fillId="0" borderId="10" xfId="59" applyFont="1" applyBorder="1" applyAlignment="1">
      <alignment horizontal="center" wrapText="1"/>
      <protection/>
    </xf>
    <xf numFmtId="168" fontId="28" fillId="0" borderId="10" xfId="0" applyNumberFormat="1" applyFont="1" applyBorder="1" applyAlignment="1">
      <alignment horizontal="center" vertical="center"/>
    </xf>
    <xf numFmtId="0" fontId="5" fillId="0" borderId="10" xfId="59" applyFont="1" applyBorder="1" applyAlignment="1">
      <alignment horizontal="left" wrapText="1"/>
      <protection/>
    </xf>
    <xf numFmtId="2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68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68" fontId="5" fillId="0" borderId="14" xfId="59" applyNumberFormat="1" applyFont="1" applyBorder="1" applyAlignment="1">
      <alignment horizontal="center" vertical="center" wrapText="1"/>
      <protection/>
    </xf>
    <xf numFmtId="168" fontId="5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distributed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28" fillId="0" borderId="0" xfId="0" applyFont="1" applyAlignment="1">
      <alignment horizontal="center" wrapText="1"/>
    </xf>
    <xf numFmtId="0" fontId="5" fillId="24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2" fontId="5" fillId="24" borderId="10" xfId="0" applyNumberFormat="1" applyFont="1" applyFill="1" applyBorder="1" applyAlignment="1">
      <alignment/>
    </xf>
    <xf numFmtId="168" fontId="5" fillId="24" borderId="10" xfId="0" applyNumberFormat="1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70" fontId="28" fillId="0" borderId="10" xfId="0" applyNumberFormat="1" applyFont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 vertical="center" wrapText="1"/>
    </xf>
    <xf numFmtId="168" fontId="5" fillId="24" borderId="10" xfId="59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/>
    </xf>
    <xf numFmtId="168" fontId="23" fillId="24" borderId="10" xfId="0" applyNumberFormat="1" applyFont="1" applyFill="1" applyBorder="1" applyAlignment="1">
      <alignment horizontal="center" vertical="center" wrapText="1"/>
    </xf>
    <xf numFmtId="168" fontId="23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Border="1" applyAlignment="1">
      <alignment horizontal="center" wrapText="1"/>
    </xf>
    <xf numFmtId="168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wrapText="1" shrinkToFit="1"/>
    </xf>
    <xf numFmtId="168" fontId="5" fillId="0" borderId="14" xfId="0" applyNumberFormat="1" applyFont="1" applyBorder="1" applyAlignment="1">
      <alignment horizontal="center" vertical="top" wrapText="1"/>
    </xf>
    <xf numFmtId="168" fontId="5" fillId="0" borderId="20" xfId="0" applyNumberFormat="1" applyFont="1" applyBorder="1" applyAlignment="1">
      <alignment horizontal="center" vertical="top" wrapText="1"/>
    </xf>
    <xf numFmtId="168" fontId="5" fillId="0" borderId="21" xfId="0" applyNumberFormat="1" applyFont="1" applyBorder="1" applyAlignment="1">
      <alignment horizontal="center" vertical="top" wrapText="1"/>
    </xf>
    <xf numFmtId="168" fontId="5" fillId="0" borderId="22" xfId="0" applyNumberFormat="1" applyFont="1" applyBorder="1" applyAlignment="1">
      <alignment horizontal="center" vertical="top" wrapText="1"/>
    </xf>
    <xf numFmtId="168" fontId="5" fillId="0" borderId="23" xfId="0" applyNumberFormat="1" applyFont="1" applyBorder="1" applyAlignment="1">
      <alignment horizontal="center" vertical="top" wrapText="1"/>
    </xf>
    <xf numFmtId="0" fontId="28" fillId="0" borderId="10" xfId="59" applyFont="1" applyFill="1" applyBorder="1" applyAlignment="1">
      <alignment horizontal="center" vertical="top" wrapText="1"/>
      <protection/>
    </xf>
    <xf numFmtId="168" fontId="5" fillId="0" borderId="24" xfId="0" applyNumberFormat="1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top" wrapText="1"/>
    </xf>
    <xf numFmtId="168" fontId="23" fillId="0" borderId="24" xfId="0" applyNumberFormat="1" applyFont="1" applyBorder="1" applyAlignment="1">
      <alignment horizontal="center" vertical="top" wrapText="1"/>
    </xf>
    <xf numFmtId="168" fontId="23" fillId="0" borderId="14" xfId="0" applyNumberFormat="1" applyFont="1" applyBorder="1" applyAlignment="1">
      <alignment horizontal="center" vertical="top" wrapText="1"/>
    </xf>
    <xf numFmtId="168" fontId="23" fillId="0" borderId="20" xfId="0" applyNumberFormat="1" applyFont="1" applyBorder="1" applyAlignment="1">
      <alignment horizontal="center" vertical="top" wrapText="1"/>
    </xf>
    <xf numFmtId="168" fontId="28" fillId="0" borderId="21" xfId="0" applyNumberFormat="1" applyFont="1" applyBorder="1" applyAlignment="1">
      <alignment horizontal="center" vertical="top" wrapText="1"/>
    </xf>
    <xf numFmtId="0" fontId="39" fillId="0" borderId="0" xfId="55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0" xfId="58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168" fontId="5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28" fillId="0" borderId="14" xfId="59" applyFont="1" applyFill="1" applyBorder="1" applyAlignment="1">
      <alignment horizontal="center" vertical="top" wrapText="1"/>
      <protection/>
    </xf>
    <xf numFmtId="0" fontId="28" fillId="0" borderId="21" xfId="59" applyFont="1" applyFill="1" applyBorder="1" applyAlignment="1">
      <alignment horizontal="center" vertical="top" wrapText="1"/>
      <protection/>
    </xf>
    <xf numFmtId="0" fontId="28" fillId="0" borderId="13" xfId="59" applyFont="1" applyFill="1" applyBorder="1" applyAlignment="1">
      <alignment horizontal="center" vertical="top" wrapText="1"/>
      <protection/>
    </xf>
    <xf numFmtId="168" fontId="28" fillId="0" borderId="10" xfId="59" applyNumberFormat="1" applyFont="1" applyFill="1" applyBorder="1" applyAlignment="1">
      <alignment horizontal="right" vertical="top" wrapText="1"/>
      <protection/>
    </xf>
    <xf numFmtId="168" fontId="28" fillId="0" borderId="10" xfId="0" applyNumberFormat="1" applyFont="1" applyFill="1" applyBorder="1" applyAlignment="1">
      <alignment horizontal="right" vertical="top"/>
    </xf>
    <xf numFmtId="0" fontId="5" fillId="0" borderId="10" xfId="59" applyFont="1" applyFill="1" applyBorder="1" applyAlignment="1">
      <alignment horizontal="left" vertical="top" wrapText="1"/>
      <protection/>
    </xf>
    <xf numFmtId="172" fontId="5" fillId="0" borderId="10" xfId="59" applyNumberFormat="1" applyFont="1" applyFill="1" applyBorder="1" applyAlignment="1">
      <alignment horizontal="center" vertical="top" wrapText="1"/>
      <protection/>
    </xf>
    <xf numFmtId="172" fontId="28" fillId="0" borderId="10" xfId="59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/>
    </xf>
    <xf numFmtId="0" fontId="28" fillId="0" borderId="10" xfId="59" applyFont="1" applyFill="1" applyBorder="1" applyAlignment="1">
      <alignment horizontal="left" vertical="top" wrapText="1"/>
      <protection/>
    </xf>
    <xf numFmtId="172" fontId="28" fillId="0" borderId="21" xfId="59" applyNumberFormat="1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center"/>
    </xf>
    <xf numFmtId="0" fontId="28" fillId="0" borderId="10" xfId="53" applyFont="1" applyFill="1" applyBorder="1" applyAlignment="1">
      <alignment horizontal="right"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wrapText="1"/>
      <protection/>
    </xf>
    <xf numFmtId="0" fontId="28" fillId="0" borderId="10" xfId="53" applyFont="1" applyFill="1" applyBorder="1">
      <alignment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/>
      <protection/>
    </xf>
    <xf numFmtId="0" fontId="23" fillId="0" borderId="10" xfId="0" applyFont="1" applyFill="1" applyBorder="1" applyAlignment="1">
      <alignment vertical="center" wrapText="1"/>
    </xf>
    <xf numFmtId="168" fontId="5" fillId="0" borderId="10" xfId="58" applyNumberFormat="1" applyFont="1" applyFill="1" applyBorder="1" applyAlignment="1">
      <alignment vertical="center" wrapText="1"/>
      <protection/>
    </xf>
    <xf numFmtId="2" fontId="2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68" fontId="5" fillId="0" borderId="10" xfId="59" applyNumberFormat="1" applyFont="1" applyFill="1" applyBorder="1" applyAlignment="1">
      <alignment horizontal="center" vertical="top" wrapText="1"/>
      <protection/>
    </xf>
    <xf numFmtId="168" fontId="5" fillId="0" borderId="10" xfId="0" applyNumberFormat="1" applyFont="1" applyFill="1" applyBorder="1" applyAlignment="1">
      <alignment horizontal="center" vertical="center"/>
    </xf>
    <xf numFmtId="168" fontId="28" fillId="0" borderId="10" xfId="59" applyNumberFormat="1" applyFont="1" applyFill="1" applyBorder="1" applyAlignment="1">
      <alignment horizontal="center" vertical="top" wrapText="1"/>
      <protection/>
    </xf>
    <xf numFmtId="0" fontId="5" fillId="0" borderId="10" xfId="56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center" vertical="top"/>
    </xf>
    <xf numFmtId="168" fontId="28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top"/>
    </xf>
    <xf numFmtId="2" fontId="28" fillId="0" borderId="10" xfId="0" applyNumberFormat="1" applyFont="1" applyFill="1" applyBorder="1" applyAlignment="1">
      <alignment horizontal="center" vertical="top"/>
    </xf>
    <xf numFmtId="168" fontId="23" fillId="0" borderId="10" xfId="53" applyNumberFormat="1" applyFont="1" applyFill="1" applyBorder="1" applyAlignment="1">
      <alignment horizontal="center" vertical="center"/>
      <protection/>
    </xf>
    <xf numFmtId="168" fontId="30" fillId="0" borderId="10" xfId="53" applyNumberFormat="1" applyFont="1" applyFill="1" applyBorder="1" applyAlignment="1">
      <alignment horizontal="center" vertical="center"/>
      <protection/>
    </xf>
    <xf numFmtId="168" fontId="5" fillId="0" borderId="10" xfId="58" applyNumberFormat="1" applyFont="1" applyFill="1" applyBorder="1" applyAlignment="1">
      <alignment horizontal="center" vertical="center" wrapText="1"/>
      <protection/>
    </xf>
    <xf numFmtId="168" fontId="28" fillId="0" borderId="10" xfId="53" applyNumberFormat="1" applyFont="1" applyFill="1" applyBorder="1" applyAlignment="1">
      <alignment horizontal="center"/>
      <protection/>
    </xf>
    <xf numFmtId="168" fontId="28" fillId="0" borderId="10" xfId="0" applyNumberFormat="1" applyFont="1" applyFill="1" applyBorder="1" applyAlignment="1">
      <alignment horizontal="center" vertical="top"/>
    </xf>
    <xf numFmtId="168" fontId="32" fillId="0" borderId="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68" fontId="5" fillId="0" borderId="10" xfId="56" applyNumberFormat="1" applyFont="1" applyFill="1" applyBorder="1" applyAlignment="1">
      <alignment horizontal="center" vertical="center"/>
      <protection/>
    </xf>
    <xf numFmtId="172" fontId="5" fillId="0" borderId="10" xfId="0" applyNumberFormat="1" applyFont="1" applyFill="1" applyBorder="1" applyAlignment="1">
      <alignment horizontal="center" vertical="top"/>
    </xf>
    <xf numFmtId="172" fontId="28" fillId="0" borderId="10" xfId="0" applyNumberFormat="1" applyFont="1" applyFill="1" applyBorder="1" applyAlignment="1">
      <alignment horizontal="center"/>
    </xf>
    <xf numFmtId="173" fontId="2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25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left" vertical="top" wrapText="1"/>
    </xf>
    <xf numFmtId="169" fontId="5" fillId="0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0" xfId="42" applyNumberFormat="1" applyFont="1" applyFill="1" applyBorder="1" applyAlignment="1">
      <alignment wrapText="1"/>
    </xf>
    <xf numFmtId="0" fontId="5" fillId="0" borderId="14" xfId="59" applyFont="1" applyFill="1" applyBorder="1" applyAlignment="1">
      <alignment horizontal="center" vertical="top" wrapText="1"/>
      <protection/>
    </xf>
    <xf numFmtId="49" fontId="5" fillId="0" borderId="10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8" fillId="0" borderId="14" xfId="59" applyFont="1" applyFill="1" applyBorder="1" applyAlignment="1">
      <alignment horizontal="center" vertical="top" wrapText="1"/>
      <protection/>
    </xf>
    <xf numFmtId="0" fontId="28" fillId="0" borderId="21" xfId="59" applyFont="1" applyFill="1" applyBorder="1" applyAlignment="1">
      <alignment horizontal="center" vertical="top" wrapText="1"/>
      <protection/>
    </xf>
    <xf numFmtId="0" fontId="28" fillId="0" borderId="13" xfId="59" applyFont="1" applyFill="1" applyBorder="1" applyAlignment="1">
      <alignment horizontal="center" vertical="top" wrapText="1"/>
      <protection/>
    </xf>
    <xf numFmtId="0" fontId="28" fillId="0" borderId="10" xfId="59" applyFont="1" applyFill="1" applyBorder="1" applyAlignment="1">
      <alignment horizontal="center" vertical="top" wrapText="1"/>
      <protection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5" fillId="0" borderId="12" xfId="59" applyFont="1" applyBorder="1" applyAlignment="1">
      <alignment horizontal="center" vertical="center" wrapText="1"/>
      <protection/>
    </xf>
    <xf numFmtId="0" fontId="28" fillId="0" borderId="14" xfId="0" applyFont="1" applyBorder="1" applyAlignment="1">
      <alignment horizontal="center"/>
    </xf>
    <xf numFmtId="0" fontId="25" fillId="17" borderId="0" xfId="0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17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59" applyFont="1" applyBorder="1" applyAlignment="1">
      <alignment horizont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1" fillId="0" borderId="0" xfId="59" applyFont="1" applyBorder="1" applyAlignment="1">
      <alignment horizontal="center" wrapText="1"/>
      <protection/>
    </xf>
    <xf numFmtId="0" fontId="39" fillId="0" borderId="0" xfId="55" applyFont="1" applyFill="1" applyBorder="1" applyAlignment="1">
      <alignment horizontal="center" vertical="center" wrapText="1"/>
      <protection/>
    </xf>
    <xf numFmtId="0" fontId="5" fillId="0" borderId="18" xfId="59" applyFont="1" applyBorder="1" applyAlignment="1">
      <alignment horizontal="center" vertical="center" wrapText="1"/>
      <protection/>
    </xf>
    <xf numFmtId="0" fontId="5" fillId="0" borderId="16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8" fontId="3" fillId="0" borderId="18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12" xfId="0" applyNumberFormat="1" applyFont="1" applyBorder="1" applyAlignment="1">
      <alignment horizontal="center" vertical="top" wrapText="1"/>
    </xf>
    <xf numFmtId="0" fontId="37" fillId="0" borderId="14" xfId="59" applyFont="1" applyFill="1" applyBorder="1" applyAlignment="1">
      <alignment horizontal="center" vertical="top" wrapText="1"/>
      <protection/>
    </xf>
    <xf numFmtId="0" fontId="37" fillId="0" borderId="21" xfId="59" applyFont="1" applyFill="1" applyBorder="1" applyAlignment="1">
      <alignment horizontal="center" vertical="top" wrapText="1"/>
      <protection/>
    </xf>
    <xf numFmtId="0" fontId="37" fillId="0" borderId="13" xfId="59" applyFont="1" applyFill="1" applyBorder="1" applyAlignment="1">
      <alignment horizontal="center" vertical="top" wrapText="1"/>
      <protection/>
    </xf>
    <xf numFmtId="0" fontId="3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4" fillId="0" borderId="0" xfId="55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68" fontId="5" fillId="0" borderId="2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49" fontId="28" fillId="0" borderId="14" xfId="0" applyNumberFormat="1" applyFont="1" applyFill="1" applyBorder="1" applyAlignment="1">
      <alignment horizontal="center" vertical="top" wrapText="1"/>
    </xf>
    <xf numFmtId="49" fontId="28" fillId="0" borderId="21" xfId="0" applyNumberFormat="1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0" fontId="28" fillId="0" borderId="14" xfId="53" applyFont="1" applyFill="1" applyBorder="1" applyAlignment="1">
      <alignment horizontal="center"/>
      <protection/>
    </xf>
    <xf numFmtId="0" fontId="28" fillId="0" borderId="21" xfId="53" applyFont="1" applyFill="1" applyBorder="1" applyAlignment="1">
      <alignment horizontal="center"/>
      <protection/>
    </xf>
    <xf numFmtId="0" fontId="28" fillId="0" borderId="13" xfId="53" applyFont="1" applyFill="1" applyBorder="1" applyAlignment="1">
      <alignment horizontal="center"/>
      <protection/>
    </xf>
    <xf numFmtId="0" fontId="28" fillId="0" borderId="14" xfId="58" applyFont="1" applyFill="1" applyBorder="1" applyAlignment="1">
      <alignment horizontal="center" vertical="center" wrapText="1"/>
      <protection/>
    </xf>
    <xf numFmtId="0" fontId="28" fillId="0" borderId="21" xfId="58" applyFont="1" applyFill="1" applyBorder="1" applyAlignment="1">
      <alignment horizontal="center" vertical="center" wrapText="1"/>
      <protection/>
    </xf>
    <xf numFmtId="0" fontId="28" fillId="0" borderId="13" xfId="58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_Кап_ПОТОЧН_ремонт 03_01_17" xfId="53"/>
    <cellStyle name="Обычный_Бюджет розвитку" xfId="54"/>
    <cellStyle name="Обычный_Бюджет розвитку_1" xfId="55"/>
    <cellStyle name="Обычный_Додаток 10 (2240 інш.посл.)" xfId="56"/>
    <cellStyle name="Обычный_Додаток 18 (3132)" xfId="57"/>
    <cellStyle name="Обычный_Зведенний_Графік виконання робіт з поточного ремонту у 2016 році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zo.com.ua/tenders/271663" TargetMode="External" /><Relationship Id="rId2" Type="http://schemas.openxmlformats.org/officeDocument/2006/relationships/hyperlink" Target="https://www.dzo.com.ua/tenders/271663/bid/cfcd208495d565ef66e7dff9f98764da/info" TargetMode="External" /><Relationship Id="rId3" Type="http://schemas.openxmlformats.org/officeDocument/2006/relationships/hyperlink" Target="https://www.dzo.com.ua/tenders/429036" TargetMode="External" /><Relationship Id="rId4" Type="http://schemas.openxmlformats.org/officeDocument/2006/relationships/hyperlink" Target="https://www.dzo.com.ua/tenders/429036/bid/cfcd208495d565ef66e7dff9f98764da/info" TargetMode="External" /><Relationship Id="rId5" Type="http://schemas.openxmlformats.org/officeDocument/2006/relationships/hyperlink" Target="https://www.dzo.com.ua/tenders/578573" TargetMode="External" /><Relationship Id="rId6" Type="http://schemas.openxmlformats.org/officeDocument/2006/relationships/hyperlink" Target="https://www.dzo.com.ua/tenders/578573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zo.com.ua/tenders/429036/bid/cfcd208495d565ef66e7dff9f98764da/inf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6"/>
  <sheetViews>
    <sheetView view="pageBreakPreview" zoomScale="60" zoomScaleNormal="75" workbookViewId="0" topLeftCell="A396">
      <selection activeCell="G60" sqref="G60"/>
    </sheetView>
  </sheetViews>
  <sheetFormatPr defaultColWidth="9.00390625" defaultRowHeight="12.75"/>
  <cols>
    <col min="1" max="1" width="3.875" style="3" customWidth="1"/>
    <col min="2" max="2" width="62.00390625" style="3" customWidth="1"/>
    <col min="3" max="3" width="24.625" style="3" customWidth="1"/>
    <col min="4" max="5" width="16.125" style="3" customWidth="1"/>
    <col min="6" max="6" width="24.625" style="3" customWidth="1"/>
    <col min="7" max="7" width="13.00390625" style="3" customWidth="1"/>
    <col min="8" max="16384" width="9.125" style="3" customWidth="1"/>
  </cols>
  <sheetData>
    <row r="1" spans="1:7" ht="46.5" customHeight="1">
      <c r="A1" s="245" t="s">
        <v>1487</v>
      </c>
      <c r="B1" s="245"/>
      <c r="C1" s="245"/>
      <c r="D1" s="245"/>
      <c r="E1" s="245"/>
      <c r="F1" s="245"/>
      <c r="G1" s="7"/>
    </row>
    <row r="2" spans="1:7" s="4" customFormat="1" ht="18" customHeight="1">
      <c r="A2" s="5" t="s">
        <v>735</v>
      </c>
      <c r="B2" s="6"/>
      <c r="C2" s="6"/>
      <c r="D2" s="6"/>
      <c r="E2" s="6"/>
      <c r="F2" s="6" t="s">
        <v>1486</v>
      </c>
      <c r="G2" s="6"/>
    </row>
    <row r="3" spans="1:14" ht="78.75">
      <c r="A3" s="9" t="s">
        <v>734</v>
      </c>
      <c r="B3" s="9" t="s">
        <v>723</v>
      </c>
      <c r="C3" s="9" t="s">
        <v>722</v>
      </c>
      <c r="D3" s="10" t="s">
        <v>724</v>
      </c>
      <c r="E3" s="9" t="s">
        <v>725</v>
      </c>
      <c r="F3" s="11" t="s">
        <v>726</v>
      </c>
      <c r="G3" s="2"/>
      <c r="I3" s="14"/>
      <c r="J3" s="14"/>
      <c r="K3" s="67"/>
      <c r="L3" s="14"/>
      <c r="M3" s="14"/>
      <c r="N3" s="14"/>
    </row>
    <row r="4" spans="1:14" ht="18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2"/>
      <c r="I4" s="14"/>
      <c r="J4" s="14"/>
      <c r="K4" s="67"/>
      <c r="L4" s="14"/>
      <c r="M4" s="14"/>
      <c r="N4" s="14"/>
    </row>
    <row r="5" spans="1:14" ht="18.75">
      <c r="A5" s="1"/>
      <c r="B5" s="241" t="s">
        <v>627</v>
      </c>
      <c r="C5" s="241"/>
      <c r="D5" s="241"/>
      <c r="E5" s="241"/>
      <c r="F5" s="241"/>
      <c r="G5" s="2"/>
      <c r="I5" s="14"/>
      <c r="J5" s="14"/>
      <c r="K5" s="67"/>
      <c r="L5" s="14"/>
      <c r="M5" s="14"/>
      <c r="N5" s="14"/>
    </row>
    <row r="6" spans="1:11" s="28" customFormat="1" ht="31.5">
      <c r="A6" s="9"/>
      <c r="B6" s="20" t="s">
        <v>679</v>
      </c>
      <c r="C6" s="63" t="s">
        <v>628</v>
      </c>
      <c r="D6" s="130">
        <v>1436.4</v>
      </c>
      <c r="E6" s="140">
        <v>1359.1</v>
      </c>
      <c r="F6" s="9"/>
      <c r="G6" s="42"/>
      <c r="K6" s="35"/>
    </row>
    <row r="7" spans="1:11" s="28" customFormat="1" ht="15.75">
      <c r="A7" s="9"/>
      <c r="B7" s="21" t="s">
        <v>594</v>
      </c>
      <c r="C7" s="21" t="s">
        <v>595</v>
      </c>
      <c r="D7" s="21"/>
      <c r="E7" s="216">
        <v>1.5</v>
      </c>
      <c r="F7" s="42"/>
      <c r="G7" s="42"/>
      <c r="K7" s="35"/>
    </row>
    <row r="8" spans="1:11" s="28" customFormat="1" ht="15.75">
      <c r="A8" s="9"/>
      <c r="B8" s="21" t="s">
        <v>596</v>
      </c>
      <c r="C8" s="21" t="s">
        <v>597</v>
      </c>
      <c r="D8" s="21"/>
      <c r="E8" s="216"/>
      <c r="F8" s="42"/>
      <c r="G8" s="42"/>
      <c r="K8" s="35"/>
    </row>
    <row r="9" spans="1:11" s="28" customFormat="1" ht="15.75">
      <c r="A9" s="9"/>
      <c r="B9" s="21" t="s">
        <v>598</v>
      </c>
      <c r="C9" s="21" t="s">
        <v>599</v>
      </c>
      <c r="D9" s="21"/>
      <c r="E9" s="216">
        <v>37.1</v>
      </c>
      <c r="F9" s="42"/>
      <c r="G9" s="42"/>
      <c r="K9" s="35"/>
    </row>
    <row r="10" ht="12.75">
      <c r="E10" s="174"/>
    </row>
    <row r="11" spans="1:11" s="28" customFormat="1" ht="15.75">
      <c r="A11" s="9"/>
      <c r="B11" s="21" t="s">
        <v>601</v>
      </c>
      <c r="C11" s="21" t="s">
        <v>599</v>
      </c>
      <c r="D11" s="21"/>
      <c r="E11" s="219">
        <v>5</v>
      </c>
      <c r="F11" s="42"/>
      <c r="G11" s="42"/>
      <c r="K11" s="35"/>
    </row>
    <row r="12" spans="1:11" s="28" customFormat="1" ht="15.75">
      <c r="A12" s="9"/>
      <c r="B12" s="21" t="s">
        <v>602</v>
      </c>
      <c r="C12" s="21" t="s">
        <v>603</v>
      </c>
      <c r="D12" s="21"/>
      <c r="E12" s="216">
        <v>27.8</v>
      </c>
      <c r="F12" s="42"/>
      <c r="G12" s="42"/>
      <c r="K12" s="35"/>
    </row>
    <row r="13" spans="1:11" s="28" customFormat="1" ht="31.5">
      <c r="A13" s="9"/>
      <c r="B13" s="20" t="s">
        <v>600</v>
      </c>
      <c r="C13" s="21" t="s">
        <v>599</v>
      </c>
      <c r="D13" s="21"/>
      <c r="E13" s="216">
        <v>20.7</v>
      </c>
      <c r="F13" s="42"/>
      <c r="G13" s="42"/>
      <c r="K13" s="35"/>
    </row>
    <row r="14" spans="1:14" ht="24.75" customHeight="1">
      <c r="A14" s="1"/>
      <c r="B14" s="241" t="s">
        <v>753</v>
      </c>
      <c r="C14" s="241"/>
      <c r="D14" s="241"/>
      <c r="E14" s="241"/>
      <c r="F14" s="241"/>
      <c r="G14" s="2"/>
      <c r="I14" s="14"/>
      <c r="J14" s="14"/>
      <c r="K14" s="67"/>
      <c r="L14" s="14"/>
      <c r="M14" s="14"/>
      <c r="N14" s="14"/>
    </row>
    <row r="15" spans="1:11" ht="31.5">
      <c r="A15" s="9">
        <v>1</v>
      </c>
      <c r="B15" s="16" t="s">
        <v>736</v>
      </c>
      <c r="C15" s="9" t="s">
        <v>737</v>
      </c>
      <c r="D15" s="136">
        <v>7130.37</v>
      </c>
      <c r="E15" s="26">
        <v>4348.964</v>
      </c>
      <c r="F15" s="247" t="s">
        <v>738</v>
      </c>
      <c r="K15" s="4"/>
    </row>
    <row r="16" spans="1:6" ht="31.5">
      <c r="A16" s="9"/>
      <c r="B16" s="16" t="s">
        <v>739</v>
      </c>
      <c r="C16" s="18" t="s">
        <v>740</v>
      </c>
      <c r="D16" s="136">
        <v>120.046</v>
      </c>
      <c r="E16" s="26">
        <v>95.562</v>
      </c>
      <c r="F16" s="248"/>
    </row>
    <row r="17" spans="1:6" ht="30.75" customHeight="1">
      <c r="A17" s="9"/>
      <c r="B17" s="16" t="s">
        <v>741</v>
      </c>
      <c r="C17" s="19" t="s">
        <v>742</v>
      </c>
      <c r="D17" s="136">
        <v>9.23</v>
      </c>
      <c r="E17" s="26">
        <v>6.816</v>
      </c>
      <c r="F17" s="249"/>
    </row>
    <row r="18" spans="1:6" ht="36" customHeight="1">
      <c r="A18" s="9">
        <v>2</v>
      </c>
      <c r="B18" s="20" t="s">
        <v>743</v>
      </c>
      <c r="C18" s="19" t="s">
        <v>744</v>
      </c>
      <c r="D18" s="136">
        <v>1.478</v>
      </c>
      <c r="E18" s="26">
        <v>1.478</v>
      </c>
      <c r="F18" s="9"/>
    </row>
    <row r="19" spans="1:6" ht="33" customHeight="1">
      <c r="A19" s="9"/>
      <c r="B19" s="20" t="s">
        <v>745</v>
      </c>
      <c r="C19" s="18" t="s">
        <v>746</v>
      </c>
      <c r="D19" s="136">
        <v>30.157</v>
      </c>
      <c r="E19" s="26">
        <v>30.157</v>
      </c>
      <c r="F19" s="9"/>
    </row>
    <row r="20" spans="1:6" ht="31.5">
      <c r="A20" s="21"/>
      <c r="B20" s="20" t="s">
        <v>747</v>
      </c>
      <c r="C20" s="22" t="s">
        <v>737</v>
      </c>
      <c r="D20" s="27">
        <v>856.193</v>
      </c>
      <c r="E20" s="29">
        <v>856.193</v>
      </c>
      <c r="F20" s="21"/>
    </row>
    <row r="21" spans="1:6" ht="31.5">
      <c r="A21" s="21"/>
      <c r="B21" s="20" t="s">
        <v>748</v>
      </c>
      <c r="C21" s="18" t="s">
        <v>740</v>
      </c>
      <c r="D21" s="27">
        <v>20.376</v>
      </c>
      <c r="E21" s="29">
        <v>17.67</v>
      </c>
      <c r="F21" s="21"/>
    </row>
    <row r="22" spans="1:6" ht="31.5">
      <c r="A22" s="21"/>
      <c r="B22" s="20" t="s">
        <v>749</v>
      </c>
      <c r="C22" s="18" t="s">
        <v>750</v>
      </c>
      <c r="D22" s="27">
        <v>2.325</v>
      </c>
      <c r="E22" s="29">
        <v>2.325</v>
      </c>
      <c r="F22" s="21"/>
    </row>
    <row r="23" spans="1:6" ht="31.5">
      <c r="A23" s="21">
        <v>3</v>
      </c>
      <c r="B23" s="20" t="s">
        <v>680</v>
      </c>
      <c r="C23" s="18" t="s">
        <v>750</v>
      </c>
      <c r="D23" s="29">
        <v>42.951</v>
      </c>
      <c r="E23" s="29">
        <v>42.951</v>
      </c>
      <c r="F23" s="21"/>
    </row>
    <row r="24" spans="1:6" ht="31.5">
      <c r="A24" s="21"/>
      <c r="B24" s="20" t="s">
        <v>751</v>
      </c>
      <c r="C24" s="18" t="s">
        <v>752</v>
      </c>
      <c r="D24" s="29">
        <v>1.712</v>
      </c>
      <c r="E24" s="29">
        <v>1.712</v>
      </c>
      <c r="F24" s="21"/>
    </row>
    <row r="25" spans="1:6" ht="15.75">
      <c r="A25" s="21"/>
      <c r="B25" s="21"/>
      <c r="C25" s="21"/>
      <c r="D25" s="84">
        <f>SUM(D15:D24)</f>
        <v>8214.838</v>
      </c>
      <c r="E25" s="84">
        <f>SUM(E15:E24)</f>
        <v>5403.828</v>
      </c>
      <c r="F25" s="21"/>
    </row>
    <row r="26" spans="2:6" s="14" customFormat="1" ht="18.75">
      <c r="B26" s="240" t="s">
        <v>1075</v>
      </c>
      <c r="C26" s="240"/>
      <c r="D26" s="240"/>
      <c r="E26" s="240"/>
      <c r="F26" s="240"/>
    </row>
    <row r="27" spans="2:9" s="14" customFormat="1" ht="48">
      <c r="B27" s="221" t="s">
        <v>1076</v>
      </c>
      <c r="C27" s="221" t="s">
        <v>1077</v>
      </c>
      <c r="D27" s="189">
        <v>226.498</v>
      </c>
      <c r="E27" s="11">
        <v>75.815</v>
      </c>
      <c r="F27" s="222"/>
      <c r="G27" s="235"/>
      <c r="H27" s="235"/>
      <c r="I27" s="67"/>
    </row>
    <row r="28" spans="2:9" s="14" customFormat="1" ht="63.75">
      <c r="B28" s="221" t="s">
        <v>1078</v>
      </c>
      <c r="C28" s="221" t="s">
        <v>1079</v>
      </c>
      <c r="D28" s="11">
        <v>1039.717</v>
      </c>
      <c r="E28" s="11">
        <v>747.662</v>
      </c>
      <c r="F28" s="222"/>
      <c r="G28" s="235"/>
      <c r="H28" s="235"/>
      <c r="I28" s="67"/>
    </row>
    <row r="29" spans="2:9" ht="47.25">
      <c r="B29" s="221" t="s">
        <v>1080</v>
      </c>
      <c r="C29" s="223" t="s">
        <v>1081</v>
      </c>
      <c r="D29" s="216">
        <v>2871.51</v>
      </c>
      <c r="E29" s="216">
        <v>149.554</v>
      </c>
      <c r="F29" s="224" t="s">
        <v>1082</v>
      </c>
      <c r="G29" s="236"/>
      <c r="H29" s="236"/>
      <c r="I29" s="4"/>
    </row>
    <row r="30" spans="2:9" ht="47.25">
      <c r="B30" s="221" t="s">
        <v>1083</v>
      </c>
      <c r="C30" s="223" t="s">
        <v>1081</v>
      </c>
      <c r="D30" s="216">
        <v>171.596</v>
      </c>
      <c r="E30" s="216">
        <v>171.245</v>
      </c>
      <c r="F30" s="225"/>
      <c r="G30" s="236"/>
      <c r="H30" s="236"/>
      <c r="I30" s="4"/>
    </row>
    <row r="31" spans="2:9" ht="18.75">
      <c r="B31" s="198" t="s">
        <v>1084</v>
      </c>
      <c r="C31" s="198"/>
      <c r="D31" s="216"/>
      <c r="E31" s="137">
        <f>E27+E28+E29+E30</f>
        <v>1144.276</v>
      </c>
      <c r="F31" s="226"/>
      <c r="G31" s="236"/>
      <c r="H31" s="236"/>
      <c r="I31" s="4"/>
    </row>
    <row r="32" spans="2:9" s="41" customFormat="1" ht="27.75" customHeight="1">
      <c r="B32" s="251" t="s">
        <v>1153</v>
      </c>
      <c r="C32" s="251"/>
      <c r="D32" s="251"/>
      <c r="E32" s="251"/>
      <c r="F32" s="251"/>
      <c r="G32" s="237"/>
      <c r="H32" s="237"/>
      <c r="I32" s="238"/>
    </row>
    <row r="33" spans="2:9" s="28" customFormat="1" ht="47.25">
      <c r="B33" s="103" t="s">
        <v>1154</v>
      </c>
      <c r="C33" s="103" t="s">
        <v>1155</v>
      </c>
      <c r="D33" s="216">
        <v>1191.844</v>
      </c>
      <c r="E33" s="216">
        <v>107.256</v>
      </c>
      <c r="F33" s="224" t="s">
        <v>1156</v>
      </c>
      <c r="G33" s="239"/>
      <c r="H33" s="239"/>
      <c r="I33" s="35"/>
    </row>
    <row r="34" spans="2:9" s="28" customFormat="1" ht="47.25">
      <c r="B34" s="103" t="s">
        <v>1157</v>
      </c>
      <c r="C34" s="103" t="s">
        <v>1158</v>
      </c>
      <c r="D34" s="216">
        <v>20.559</v>
      </c>
      <c r="E34" s="216">
        <v>2.12</v>
      </c>
      <c r="F34" s="224" t="s">
        <v>1156</v>
      </c>
      <c r="G34" s="239"/>
      <c r="H34" s="239"/>
      <c r="I34" s="35"/>
    </row>
    <row r="35" spans="2:9" s="28" customFormat="1" ht="47.25">
      <c r="B35" s="103" t="s">
        <v>1159</v>
      </c>
      <c r="C35" s="102" t="s">
        <v>1160</v>
      </c>
      <c r="D35" s="216">
        <v>0.355</v>
      </c>
      <c r="E35" s="216">
        <v>0.355</v>
      </c>
      <c r="F35" s="224" t="s">
        <v>1156</v>
      </c>
      <c r="G35" s="239"/>
      <c r="H35" s="239"/>
      <c r="I35" s="35"/>
    </row>
    <row r="36" spans="2:9" s="28" customFormat="1" ht="47.25">
      <c r="B36" s="103" t="s">
        <v>1161</v>
      </c>
      <c r="C36" s="103" t="s">
        <v>1162</v>
      </c>
      <c r="D36" s="216">
        <v>1065.03</v>
      </c>
      <c r="E36" s="216">
        <v>578.978</v>
      </c>
      <c r="F36" s="224" t="s">
        <v>1163</v>
      </c>
      <c r="G36" s="239"/>
      <c r="H36" s="239"/>
      <c r="I36" s="35"/>
    </row>
    <row r="37" spans="2:9" s="28" customFormat="1" ht="63">
      <c r="B37" s="103" t="s">
        <v>1164</v>
      </c>
      <c r="C37" s="103" t="s">
        <v>1158</v>
      </c>
      <c r="D37" s="216">
        <v>18.098</v>
      </c>
      <c r="E37" s="216">
        <v>10.644</v>
      </c>
      <c r="F37" s="224" t="s">
        <v>1163</v>
      </c>
      <c r="G37" s="239"/>
      <c r="H37" s="239"/>
      <c r="I37" s="35"/>
    </row>
    <row r="38" spans="2:9" ht="18.75">
      <c r="B38" s="240" t="s">
        <v>1290</v>
      </c>
      <c r="C38" s="240"/>
      <c r="D38" s="240"/>
      <c r="E38" s="240"/>
      <c r="F38" s="240"/>
      <c r="G38" s="236"/>
      <c r="H38" s="236"/>
      <c r="I38" s="4"/>
    </row>
    <row r="39" spans="2:9" s="28" customFormat="1" ht="51.75" customHeight="1">
      <c r="B39" s="20" t="s">
        <v>1291</v>
      </c>
      <c r="C39" s="20" t="s">
        <v>1292</v>
      </c>
      <c r="D39" s="130">
        <v>8.3391</v>
      </c>
      <c r="E39" s="130">
        <v>8.3391</v>
      </c>
      <c r="F39" s="234"/>
      <c r="G39" s="35"/>
      <c r="H39" s="35"/>
      <c r="I39" s="35"/>
    </row>
    <row r="40" spans="2:6" s="28" customFormat="1" ht="47.25">
      <c r="B40" s="20" t="s">
        <v>1293</v>
      </c>
      <c r="C40" s="20" t="s">
        <v>1294</v>
      </c>
      <c r="D40" s="130">
        <v>2.0925</v>
      </c>
      <c r="E40" s="130">
        <v>2.0925</v>
      </c>
      <c r="F40" s="75"/>
    </row>
    <row r="41" spans="2:6" s="28" customFormat="1" ht="47.25">
      <c r="B41" s="20" t="s">
        <v>1295</v>
      </c>
      <c r="C41" s="20" t="s">
        <v>1294</v>
      </c>
      <c r="D41" s="130">
        <v>23.69</v>
      </c>
      <c r="E41" s="130">
        <v>23.69</v>
      </c>
      <c r="F41" s="75"/>
    </row>
    <row r="42" spans="2:6" s="28" customFormat="1" ht="30.75" customHeight="1">
      <c r="B42" s="20" t="s">
        <v>1296</v>
      </c>
      <c r="C42" s="20" t="s">
        <v>1155</v>
      </c>
      <c r="D42" s="130">
        <v>1219.336</v>
      </c>
      <c r="E42" s="130">
        <v>417.45533</v>
      </c>
      <c r="F42" s="75"/>
    </row>
    <row r="43" spans="2:6" s="28" customFormat="1" ht="30.75" customHeight="1">
      <c r="B43" s="20" t="s">
        <v>1297</v>
      </c>
      <c r="C43" s="20" t="s">
        <v>1155</v>
      </c>
      <c r="D43" s="130">
        <v>484.761</v>
      </c>
      <c r="E43" s="130">
        <v>30.22307</v>
      </c>
      <c r="F43" s="75"/>
    </row>
    <row r="44" spans="2:6" ht="24.75" customHeight="1">
      <c r="B44" s="250" t="s">
        <v>1331</v>
      </c>
      <c r="C44" s="250"/>
      <c r="D44" s="250"/>
      <c r="E44" s="250"/>
      <c r="F44" s="250"/>
    </row>
    <row r="45" spans="2:6" s="28" customFormat="1" ht="36" customHeight="1">
      <c r="B45" s="76" t="s">
        <v>1332</v>
      </c>
      <c r="C45" s="77" t="s">
        <v>1333</v>
      </c>
      <c r="D45" s="128">
        <v>183.324</v>
      </c>
      <c r="E45" s="129">
        <v>183.324</v>
      </c>
      <c r="F45" s="75"/>
    </row>
    <row r="46" spans="2:6" s="28" customFormat="1" ht="47.25">
      <c r="B46" s="76" t="s">
        <v>1334</v>
      </c>
      <c r="C46" s="77" t="s">
        <v>1335</v>
      </c>
      <c r="D46" s="128">
        <v>7.071</v>
      </c>
      <c r="E46" s="129">
        <v>7.071</v>
      </c>
      <c r="F46" s="75"/>
    </row>
    <row r="47" spans="2:6" s="28" customFormat="1" ht="47.25">
      <c r="B47" s="36" t="s">
        <v>1336</v>
      </c>
      <c r="C47" s="76" t="s">
        <v>1337</v>
      </c>
      <c r="D47" s="129">
        <v>5827.979</v>
      </c>
      <c r="E47" s="129">
        <v>3617.80834</v>
      </c>
      <c r="F47" s="75"/>
    </row>
    <row r="48" spans="2:6" s="28" customFormat="1" ht="47.25">
      <c r="B48" s="76" t="s">
        <v>1338</v>
      </c>
      <c r="C48" s="77" t="s">
        <v>1339</v>
      </c>
      <c r="D48" s="128">
        <v>74.56229</v>
      </c>
      <c r="E48" s="129">
        <v>74.56229</v>
      </c>
      <c r="F48" s="75"/>
    </row>
    <row r="49" spans="2:6" s="28" customFormat="1" ht="21" customHeight="1">
      <c r="B49" s="76" t="s">
        <v>1340</v>
      </c>
      <c r="C49" s="77" t="s">
        <v>1333</v>
      </c>
      <c r="D49" s="128">
        <v>9.234</v>
      </c>
      <c r="E49" s="129">
        <v>9.234</v>
      </c>
      <c r="F49" s="75"/>
    </row>
    <row r="50" spans="2:6" ht="22.5" customHeight="1">
      <c r="B50" s="250" t="s">
        <v>1410</v>
      </c>
      <c r="C50" s="250"/>
      <c r="D50" s="250"/>
      <c r="E50" s="250"/>
      <c r="F50" s="250"/>
    </row>
    <row r="51" spans="2:6" s="28" customFormat="1" ht="47.25">
      <c r="B51" s="78" t="s">
        <v>1401</v>
      </c>
      <c r="C51" s="20" t="s">
        <v>1402</v>
      </c>
      <c r="D51" s="130"/>
      <c r="E51" s="130">
        <f>2395.8+2216.9</f>
        <v>4612.700000000001</v>
      </c>
      <c r="F51" s="21"/>
    </row>
    <row r="52" spans="2:6" s="28" customFormat="1" ht="43.5" customHeight="1">
      <c r="B52" s="73" t="s">
        <v>1403</v>
      </c>
      <c r="C52" s="20" t="s">
        <v>1404</v>
      </c>
      <c r="D52" s="51"/>
      <c r="E52" s="130">
        <f>48.9+46.1</f>
        <v>95</v>
      </c>
      <c r="F52" s="21"/>
    </row>
    <row r="53" spans="2:6" s="28" customFormat="1" ht="31.5">
      <c r="B53" s="73" t="s">
        <v>1405</v>
      </c>
      <c r="C53" s="20" t="s">
        <v>1406</v>
      </c>
      <c r="D53" s="51"/>
      <c r="E53" s="130">
        <f>8.5+8.7</f>
        <v>17.2</v>
      </c>
      <c r="F53" s="21"/>
    </row>
    <row r="54" spans="2:6" s="28" customFormat="1" ht="15.75">
      <c r="B54" s="79" t="s">
        <v>1407</v>
      </c>
      <c r="C54" s="20"/>
      <c r="D54" s="52">
        <v>7605.2</v>
      </c>
      <c r="E54" s="52">
        <f>SUM(E51:E53)</f>
        <v>4724.900000000001</v>
      </c>
      <c r="F54" s="21"/>
    </row>
    <row r="55" spans="2:6" s="28" customFormat="1" ht="63">
      <c r="B55" s="78" t="s">
        <v>1408</v>
      </c>
      <c r="C55" s="20" t="s">
        <v>1409</v>
      </c>
      <c r="D55" s="130"/>
      <c r="E55" s="130">
        <v>724</v>
      </c>
      <c r="F55" s="20" t="s">
        <v>681</v>
      </c>
    </row>
    <row r="56" spans="2:6" s="28" customFormat="1" ht="47.25">
      <c r="B56" s="73" t="s">
        <v>1403</v>
      </c>
      <c r="C56" s="20" t="s">
        <v>1404</v>
      </c>
      <c r="D56" s="130"/>
      <c r="E56" s="130">
        <v>17.2</v>
      </c>
      <c r="F56" s="21"/>
    </row>
    <row r="57" spans="2:6" s="28" customFormat="1" ht="15.75">
      <c r="B57" s="73" t="s">
        <v>1405</v>
      </c>
      <c r="C57" s="21" t="s">
        <v>1104</v>
      </c>
      <c r="D57" s="130"/>
      <c r="E57" s="130">
        <v>2.5</v>
      </c>
      <c r="F57" s="21"/>
    </row>
    <row r="58" spans="2:6" s="28" customFormat="1" ht="15.75">
      <c r="B58" s="79" t="s">
        <v>1407</v>
      </c>
      <c r="C58" s="21"/>
      <c r="D58" s="52">
        <v>1038.1</v>
      </c>
      <c r="E58" s="52">
        <f>SUM(E55:E57)</f>
        <v>743.7</v>
      </c>
      <c r="F58" s="21"/>
    </row>
    <row r="59" spans="2:6" ht="18.75">
      <c r="B59" s="250" t="s">
        <v>1413</v>
      </c>
      <c r="C59" s="250"/>
      <c r="D59" s="250"/>
      <c r="E59" s="250"/>
      <c r="F59" s="250"/>
    </row>
    <row r="60" spans="2:7" s="28" customFormat="1" ht="38.25" customHeight="1">
      <c r="B60" s="20" t="s">
        <v>1414</v>
      </c>
      <c r="C60" s="21" t="s">
        <v>1415</v>
      </c>
      <c r="D60" s="21">
        <v>33.887</v>
      </c>
      <c r="E60" s="102">
        <v>33.887</v>
      </c>
      <c r="F60" s="220"/>
      <c r="G60" s="35"/>
    </row>
    <row r="61" spans="2:6" s="165" customFormat="1" ht="22.5" customHeight="1">
      <c r="B61" s="227" t="s">
        <v>1489</v>
      </c>
      <c r="C61" s="228"/>
      <c r="D61" s="228"/>
      <c r="E61" s="228"/>
      <c r="F61" s="229"/>
    </row>
    <row r="62" spans="2:6" s="165" customFormat="1" ht="63">
      <c r="B62" s="159" t="s">
        <v>7</v>
      </c>
      <c r="C62" s="160" t="s">
        <v>1490</v>
      </c>
      <c r="D62" s="102"/>
      <c r="E62" s="161">
        <f>(290778.55+131429.77)/1000</f>
        <v>422.20831999999996</v>
      </c>
      <c r="F62" s="11"/>
    </row>
    <row r="63" spans="2:6" s="165" customFormat="1" ht="47.25">
      <c r="B63" s="218" t="s">
        <v>1491</v>
      </c>
      <c r="C63" s="160" t="s">
        <v>1492</v>
      </c>
      <c r="D63" s="102"/>
      <c r="E63" s="161">
        <f>(7134+16646+19468+1627.5)/1000</f>
        <v>44.8755</v>
      </c>
      <c r="F63" s="11"/>
    </row>
    <row r="64" spans="2:6" s="165" customFormat="1" ht="47.25">
      <c r="B64" s="218" t="s">
        <v>1493</v>
      </c>
      <c r="C64" s="160" t="s">
        <v>1494</v>
      </c>
      <c r="D64" s="102"/>
      <c r="E64" s="161">
        <f>(6840.91+3113.02)/1000</f>
        <v>9.95393</v>
      </c>
      <c r="F64" s="11"/>
    </row>
    <row r="65" spans="2:6" s="165" customFormat="1" ht="15.75">
      <c r="B65" s="149" t="s">
        <v>1407</v>
      </c>
      <c r="C65" s="11"/>
      <c r="D65" s="11"/>
      <c r="E65" s="169">
        <f>SUM(E62:E64)</f>
        <v>477.03774999999996</v>
      </c>
      <c r="F65" s="11"/>
    </row>
    <row r="66" spans="2:6" s="165" customFormat="1" ht="15.75">
      <c r="B66" s="227" t="s">
        <v>1495</v>
      </c>
      <c r="C66" s="228"/>
      <c r="D66" s="228"/>
      <c r="E66" s="228"/>
      <c r="F66" s="229"/>
    </row>
    <row r="67" spans="2:6" s="165" customFormat="1" ht="47.25">
      <c r="B67" s="162" t="s">
        <v>1496</v>
      </c>
      <c r="C67" s="160" t="s">
        <v>1497</v>
      </c>
      <c r="D67" s="102"/>
      <c r="E67" s="161">
        <f>666.76/1000</f>
        <v>0.66676</v>
      </c>
      <c r="F67" s="11"/>
    </row>
    <row r="68" spans="2:6" s="165" customFormat="1" ht="47.25">
      <c r="B68" s="162" t="s">
        <v>1498</v>
      </c>
      <c r="C68" s="160" t="s">
        <v>1499</v>
      </c>
      <c r="D68" s="102"/>
      <c r="E68" s="161">
        <f>8478.49/1000</f>
        <v>8.478489999999999</v>
      </c>
      <c r="F68" s="11"/>
    </row>
    <row r="69" spans="2:6" s="165" customFormat="1" ht="47.25">
      <c r="B69" s="162" t="s">
        <v>1500</v>
      </c>
      <c r="C69" s="160" t="s">
        <v>1501</v>
      </c>
      <c r="D69" s="102"/>
      <c r="E69" s="161">
        <f>(77537+77537)/1000</f>
        <v>155.074</v>
      </c>
      <c r="F69" s="11"/>
    </row>
    <row r="70" spans="2:6" s="165" customFormat="1" ht="35.25" customHeight="1">
      <c r="B70" s="162" t="s">
        <v>0</v>
      </c>
      <c r="C70" s="160" t="s">
        <v>1</v>
      </c>
      <c r="D70" s="102"/>
      <c r="E70" s="161">
        <f>10926/1000</f>
        <v>10.926</v>
      </c>
      <c r="F70" s="11"/>
    </row>
    <row r="71" spans="2:6" s="165" customFormat="1" ht="15.75">
      <c r="B71" s="149" t="s">
        <v>1407</v>
      </c>
      <c r="C71" s="11"/>
      <c r="D71" s="102"/>
      <c r="E71" s="169">
        <f>SUM(E67:E70)</f>
        <v>175.14525</v>
      </c>
      <c r="F71" s="11"/>
    </row>
    <row r="72" spans="2:6" s="165" customFormat="1" ht="15.75">
      <c r="B72" s="230" t="s">
        <v>2</v>
      </c>
      <c r="C72" s="230"/>
      <c r="D72" s="230"/>
      <c r="E72" s="230"/>
      <c r="F72" s="230"/>
    </row>
    <row r="73" spans="2:6" s="165" customFormat="1" ht="63">
      <c r="B73" s="162" t="s">
        <v>3</v>
      </c>
      <c r="C73" s="160" t="s">
        <v>4</v>
      </c>
      <c r="D73" s="163"/>
      <c r="E73" s="161">
        <f>(33307.76+14274.76)/1000</f>
        <v>47.58252</v>
      </c>
      <c r="F73" s="164"/>
    </row>
    <row r="74" spans="2:6" s="165" customFormat="1" ht="15.75">
      <c r="B74" s="149" t="s">
        <v>1407</v>
      </c>
      <c r="C74" s="160"/>
      <c r="D74" s="163"/>
      <c r="E74" s="170">
        <f>SUM(E73)</f>
        <v>47.58252</v>
      </c>
      <c r="F74" s="164"/>
    </row>
    <row r="75" spans="2:6" s="165" customFormat="1" ht="15.75">
      <c r="B75" s="230" t="s">
        <v>5</v>
      </c>
      <c r="C75" s="230"/>
      <c r="D75" s="230"/>
      <c r="E75" s="230"/>
      <c r="F75" s="230"/>
    </row>
    <row r="76" spans="2:6" s="165" customFormat="1" ht="63">
      <c r="B76" s="162" t="s">
        <v>6</v>
      </c>
      <c r="C76" s="160" t="s">
        <v>4</v>
      </c>
      <c r="D76" s="163"/>
      <c r="E76" s="161">
        <f>26068.42/1000</f>
        <v>26.06842</v>
      </c>
      <c r="F76" s="164"/>
    </row>
    <row r="77" spans="2:6" s="165" customFormat="1" ht="15.75">
      <c r="B77" s="149" t="s">
        <v>1407</v>
      </c>
      <c r="C77" s="11"/>
      <c r="D77" s="11"/>
      <c r="E77" s="169">
        <f>SUM(E76)</f>
        <v>26.06842</v>
      </c>
      <c r="F77" s="11"/>
    </row>
    <row r="78" spans="2:6" s="28" customFormat="1" ht="16.5" customHeight="1">
      <c r="B78" s="157"/>
      <c r="C78" s="35"/>
      <c r="D78" s="35"/>
      <c r="E78" s="158"/>
      <c r="F78" s="35"/>
    </row>
    <row r="79" spans="1:12" ht="36" customHeight="1">
      <c r="A79" s="246" t="s">
        <v>1488</v>
      </c>
      <c r="B79" s="246"/>
      <c r="C79" s="246"/>
      <c r="D79" s="246"/>
      <c r="E79" s="246"/>
      <c r="F79" s="246"/>
      <c r="G79" s="217"/>
      <c r="H79" s="217"/>
      <c r="I79" s="217"/>
      <c r="J79" s="217"/>
      <c r="K79" s="217"/>
      <c r="L79" s="217"/>
    </row>
    <row r="80" spans="1:6" ht="15" customHeight="1">
      <c r="A80" s="156"/>
      <c r="B80" s="156"/>
      <c r="C80" s="156"/>
      <c r="D80" s="156"/>
      <c r="E80" s="6" t="s">
        <v>1486</v>
      </c>
      <c r="F80" s="156"/>
    </row>
    <row r="81" spans="1:5" ht="15.75">
      <c r="A81" s="9" t="s">
        <v>734</v>
      </c>
      <c r="B81" s="9" t="s">
        <v>727</v>
      </c>
      <c r="C81" s="9" t="s">
        <v>728</v>
      </c>
      <c r="D81" s="10" t="s">
        <v>729</v>
      </c>
      <c r="E81" s="11" t="s">
        <v>726</v>
      </c>
    </row>
    <row r="82" spans="1:6" ht="12.75">
      <c r="A82" s="1">
        <v>1</v>
      </c>
      <c r="B82" s="1">
        <v>2</v>
      </c>
      <c r="C82" s="1">
        <v>3</v>
      </c>
      <c r="D82" s="1">
        <v>4</v>
      </c>
      <c r="E82" s="1">
        <v>5</v>
      </c>
      <c r="F82" s="2"/>
    </row>
    <row r="83" spans="1:6" ht="30" customHeight="1">
      <c r="A83" s="66"/>
      <c r="B83" s="241" t="s">
        <v>627</v>
      </c>
      <c r="C83" s="241"/>
      <c r="D83" s="241"/>
      <c r="E83" s="241"/>
      <c r="F83" s="241"/>
    </row>
    <row r="84" spans="1:6" s="28" customFormat="1" ht="18" customHeight="1">
      <c r="A84" s="81"/>
      <c r="B84" s="9" t="s">
        <v>629</v>
      </c>
      <c r="C84" s="9" t="s">
        <v>630</v>
      </c>
      <c r="D84" s="49">
        <v>54.2</v>
      </c>
      <c r="E84" s="83"/>
      <c r="F84" s="82"/>
    </row>
    <row r="85" spans="1:6" s="28" customFormat="1" ht="18" customHeight="1">
      <c r="A85" s="81"/>
      <c r="B85" s="9" t="s">
        <v>629</v>
      </c>
      <c r="C85" s="9" t="s">
        <v>631</v>
      </c>
      <c r="D85" s="49">
        <v>0.8</v>
      </c>
      <c r="E85" s="83"/>
      <c r="F85" s="82"/>
    </row>
    <row r="86" spans="1:6" s="28" customFormat="1" ht="18" customHeight="1">
      <c r="A86" s="81"/>
      <c r="B86" s="9" t="s">
        <v>629</v>
      </c>
      <c r="C86" s="9" t="s">
        <v>632</v>
      </c>
      <c r="D86" s="49">
        <v>3.5</v>
      </c>
      <c r="E86" s="83"/>
      <c r="F86" s="82"/>
    </row>
    <row r="87" spans="1:6" s="28" customFormat="1" ht="18" customHeight="1">
      <c r="A87" s="81"/>
      <c r="B87" s="9" t="s">
        <v>629</v>
      </c>
      <c r="C87" s="9" t="s">
        <v>633</v>
      </c>
      <c r="D87" s="49">
        <v>5</v>
      </c>
      <c r="E87" s="83"/>
      <c r="F87" s="82"/>
    </row>
    <row r="88" spans="1:6" s="28" customFormat="1" ht="18" customHeight="1">
      <c r="A88" s="81"/>
      <c r="B88" s="9" t="s">
        <v>629</v>
      </c>
      <c r="C88" s="9" t="s">
        <v>634</v>
      </c>
      <c r="D88" s="49">
        <v>0.6</v>
      </c>
      <c r="E88" s="83"/>
      <c r="F88" s="82"/>
    </row>
    <row r="89" spans="1:6" s="28" customFormat="1" ht="18" customHeight="1">
      <c r="A89" s="81"/>
      <c r="B89" s="9" t="s">
        <v>629</v>
      </c>
      <c r="C89" s="9" t="s">
        <v>635</v>
      </c>
      <c r="D89" s="49">
        <v>28.7</v>
      </c>
      <c r="E89" s="83"/>
      <c r="F89" s="82"/>
    </row>
    <row r="90" spans="1:6" s="28" customFormat="1" ht="18" customHeight="1">
      <c r="A90" s="81"/>
      <c r="B90" s="9" t="s">
        <v>636</v>
      </c>
      <c r="C90" s="9" t="s">
        <v>637</v>
      </c>
      <c r="D90" s="49">
        <v>137</v>
      </c>
      <c r="E90" s="83"/>
      <c r="F90" s="82"/>
    </row>
    <row r="91" spans="1:6" s="28" customFormat="1" ht="18" customHeight="1">
      <c r="A91" s="81"/>
      <c r="B91" s="63" t="s">
        <v>638</v>
      </c>
      <c r="C91" s="63" t="s">
        <v>639</v>
      </c>
      <c r="D91" s="130">
        <v>19.5</v>
      </c>
      <c r="E91" s="83"/>
      <c r="F91" s="82"/>
    </row>
    <row r="92" spans="1:6" s="28" customFormat="1" ht="18" customHeight="1">
      <c r="A92" s="81"/>
      <c r="B92" s="63" t="s">
        <v>640</v>
      </c>
      <c r="C92" s="63" t="s">
        <v>639</v>
      </c>
      <c r="D92" s="130">
        <v>23</v>
      </c>
      <c r="E92" s="83"/>
      <c r="F92" s="82"/>
    </row>
    <row r="93" spans="1:6" s="28" customFormat="1" ht="18" customHeight="1">
      <c r="A93" s="81"/>
      <c r="B93" s="63" t="s">
        <v>641</v>
      </c>
      <c r="C93" s="63" t="s">
        <v>639</v>
      </c>
      <c r="D93" s="130">
        <v>55.4</v>
      </c>
      <c r="E93" s="83"/>
      <c r="F93" s="82"/>
    </row>
    <row r="94" spans="1:6" s="28" customFormat="1" ht="18" customHeight="1">
      <c r="A94" s="81"/>
      <c r="B94" s="63" t="s">
        <v>642</v>
      </c>
      <c r="C94" s="63" t="s">
        <v>639</v>
      </c>
      <c r="D94" s="130">
        <v>31.2</v>
      </c>
      <c r="E94" s="83"/>
      <c r="F94" s="82"/>
    </row>
    <row r="95" spans="1:6" s="28" customFormat="1" ht="18" customHeight="1">
      <c r="A95" s="81"/>
      <c r="B95" s="63" t="s">
        <v>643</v>
      </c>
      <c r="C95" s="63" t="s">
        <v>639</v>
      </c>
      <c r="D95" s="130">
        <v>76.9</v>
      </c>
      <c r="E95" s="83"/>
      <c r="F95" s="82"/>
    </row>
    <row r="96" spans="1:6" s="28" customFormat="1" ht="18" customHeight="1">
      <c r="A96" s="81"/>
      <c r="B96" s="63" t="s">
        <v>644</v>
      </c>
      <c r="C96" s="63" t="s">
        <v>645</v>
      </c>
      <c r="D96" s="130">
        <v>69</v>
      </c>
      <c r="E96" s="83"/>
      <c r="F96" s="82"/>
    </row>
    <row r="97" spans="1:6" s="28" customFormat="1" ht="18" customHeight="1">
      <c r="A97" s="81"/>
      <c r="B97" s="63" t="s">
        <v>646</v>
      </c>
      <c r="C97" s="63" t="s">
        <v>1013</v>
      </c>
      <c r="D97" s="130">
        <v>144.3</v>
      </c>
      <c r="E97" s="83"/>
      <c r="F97" s="82"/>
    </row>
    <row r="98" spans="2:6" ht="18.75">
      <c r="B98" s="241" t="s">
        <v>753</v>
      </c>
      <c r="C98" s="241"/>
      <c r="D98" s="241"/>
      <c r="E98" s="241"/>
      <c r="F98" s="241"/>
    </row>
    <row r="99" spans="1:6" ht="15.75">
      <c r="A99" s="9"/>
      <c r="B99" s="25" t="s">
        <v>754</v>
      </c>
      <c r="C99" s="19" t="s">
        <v>755</v>
      </c>
      <c r="D99" s="26">
        <v>35</v>
      </c>
      <c r="E99" s="9"/>
      <c r="F99" s="2"/>
    </row>
    <row r="100" spans="1:6" ht="15.75">
      <c r="A100" s="9"/>
      <c r="B100" s="16" t="s">
        <v>756</v>
      </c>
      <c r="C100" s="19" t="s">
        <v>757</v>
      </c>
      <c r="D100" s="26">
        <f>118.349+76.638</f>
        <v>194.98700000000002</v>
      </c>
      <c r="E100" s="9"/>
      <c r="F100" s="4"/>
    </row>
    <row r="101" spans="1:6" ht="15.75">
      <c r="A101" s="9"/>
      <c r="B101" s="25" t="s">
        <v>754</v>
      </c>
      <c r="C101" s="19" t="s">
        <v>758</v>
      </c>
      <c r="D101" s="27">
        <v>42</v>
      </c>
      <c r="E101" s="9"/>
      <c r="F101" s="4"/>
    </row>
    <row r="102" spans="1:5" ht="15.75">
      <c r="A102" s="9"/>
      <c r="B102" s="25" t="s">
        <v>754</v>
      </c>
      <c r="C102" s="19" t="s">
        <v>759</v>
      </c>
      <c r="D102" s="27">
        <v>22.905</v>
      </c>
      <c r="E102" s="9"/>
    </row>
    <row r="103" spans="1:5" ht="15.75">
      <c r="A103" s="21"/>
      <c r="B103" s="25" t="s">
        <v>754</v>
      </c>
      <c r="C103" s="19" t="s">
        <v>760</v>
      </c>
      <c r="D103" s="27">
        <v>29.914</v>
      </c>
      <c r="E103" s="21"/>
    </row>
    <row r="104" spans="1:5" ht="15.75">
      <c r="A104" s="21"/>
      <c r="B104" s="25" t="s">
        <v>754</v>
      </c>
      <c r="C104" s="19" t="s">
        <v>755</v>
      </c>
      <c r="D104" s="27">
        <v>14.95</v>
      </c>
      <c r="E104" s="21"/>
    </row>
    <row r="105" spans="1:5" ht="15.75">
      <c r="A105" s="21"/>
      <c r="B105" s="25" t="s">
        <v>761</v>
      </c>
      <c r="C105" s="19" t="s">
        <v>755</v>
      </c>
      <c r="D105" s="27">
        <v>10.2</v>
      </c>
      <c r="E105" s="21"/>
    </row>
    <row r="106" spans="1:5" ht="15.75">
      <c r="A106" s="28"/>
      <c r="B106" s="25" t="s">
        <v>754</v>
      </c>
      <c r="C106" s="19" t="s">
        <v>758</v>
      </c>
      <c r="D106" s="27">
        <v>7.9</v>
      </c>
      <c r="E106" s="21"/>
    </row>
    <row r="107" spans="1:5" ht="15.75">
      <c r="A107" s="28"/>
      <c r="B107" s="25" t="s">
        <v>754</v>
      </c>
      <c r="C107" s="19" t="s">
        <v>759</v>
      </c>
      <c r="D107" s="27">
        <v>22.331</v>
      </c>
      <c r="E107" s="21"/>
    </row>
    <row r="108" spans="1:5" ht="15.75">
      <c r="A108" s="28"/>
      <c r="B108" s="25" t="s">
        <v>754</v>
      </c>
      <c r="C108" s="19" t="s">
        <v>760</v>
      </c>
      <c r="D108" s="27">
        <v>20</v>
      </c>
      <c r="E108" s="21"/>
    </row>
    <row r="109" spans="1:5" ht="15.75">
      <c r="A109" s="28"/>
      <c r="B109" s="25" t="s">
        <v>762</v>
      </c>
      <c r="C109" s="18" t="s">
        <v>763</v>
      </c>
      <c r="D109" s="27">
        <v>10</v>
      </c>
      <c r="E109" s="21"/>
    </row>
    <row r="110" spans="1:5" ht="15.75">
      <c r="A110" s="28"/>
      <c r="B110" s="25" t="s">
        <v>764</v>
      </c>
      <c r="C110" s="19" t="s">
        <v>765</v>
      </c>
      <c r="D110" s="27">
        <v>6.342</v>
      </c>
      <c r="E110" s="21"/>
    </row>
    <row r="111" spans="1:5" ht="15.75">
      <c r="A111" s="28"/>
      <c r="B111" s="25" t="s">
        <v>766</v>
      </c>
      <c r="C111" s="19" t="s">
        <v>767</v>
      </c>
      <c r="D111" s="29">
        <v>19.9</v>
      </c>
      <c r="E111" s="21"/>
    </row>
    <row r="112" spans="1:5" ht="15.75">
      <c r="A112" s="28"/>
      <c r="B112" s="25" t="s">
        <v>768</v>
      </c>
      <c r="C112" s="19" t="s">
        <v>769</v>
      </c>
      <c r="D112" s="29">
        <v>16</v>
      </c>
      <c r="E112" s="21"/>
    </row>
    <row r="113" spans="1:5" ht="15.75">
      <c r="A113" s="28"/>
      <c r="B113" s="25" t="s">
        <v>770</v>
      </c>
      <c r="C113" s="19" t="s">
        <v>771</v>
      </c>
      <c r="D113" s="29">
        <v>105.3</v>
      </c>
      <c r="E113" s="21"/>
    </row>
    <row r="114" spans="1:5" ht="15.75">
      <c r="A114" s="28"/>
      <c r="B114" s="25" t="s">
        <v>772</v>
      </c>
      <c r="C114" s="19" t="s">
        <v>771</v>
      </c>
      <c r="D114" s="29">
        <v>42.888</v>
      </c>
      <c r="E114" s="21"/>
    </row>
    <row r="115" spans="1:5" ht="15.75">
      <c r="A115" s="28"/>
      <c r="B115" s="25" t="s">
        <v>773</v>
      </c>
      <c r="C115" s="19" t="s">
        <v>774</v>
      </c>
      <c r="D115" s="29">
        <v>71.92</v>
      </c>
      <c r="E115" s="21"/>
    </row>
    <row r="116" spans="1:5" ht="15.75">
      <c r="A116" s="28"/>
      <c r="B116" s="25" t="s">
        <v>775</v>
      </c>
      <c r="C116" s="19" t="s">
        <v>776</v>
      </c>
      <c r="D116" s="29">
        <v>26.236</v>
      </c>
      <c r="E116" s="21"/>
    </row>
    <row r="117" spans="1:5" ht="15.75">
      <c r="A117" s="28"/>
      <c r="B117" s="25" t="s">
        <v>777</v>
      </c>
      <c r="C117" s="19" t="s">
        <v>778</v>
      </c>
      <c r="D117" s="29">
        <v>21.98</v>
      </c>
      <c r="E117" s="21"/>
    </row>
    <row r="118" spans="1:5" ht="15.75">
      <c r="A118" s="28"/>
      <c r="B118" s="25" t="s">
        <v>779</v>
      </c>
      <c r="C118" s="19" t="s">
        <v>776</v>
      </c>
      <c r="D118" s="29">
        <v>33.534</v>
      </c>
      <c r="E118" s="21"/>
    </row>
    <row r="119" spans="1:5" ht="15.75">
      <c r="A119" s="28"/>
      <c r="B119" s="25" t="s">
        <v>780</v>
      </c>
      <c r="C119" s="19" t="s">
        <v>771</v>
      </c>
      <c r="D119" s="29">
        <v>19.9</v>
      </c>
      <c r="E119" s="21"/>
    </row>
    <row r="120" spans="1:5" ht="15.75">
      <c r="A120" s="28"/>
      <c r="B120" s="25" t="s">
        <v>754</v>
      </c>
      <c r="C120" s="19" t="s">
        <v>760</v>
      </c>
      <c r="D120" s="30">
        <v>234.4</v>
      </c>
      <c r="E120" s="21"/>
    </row>
    <row r="121" spans="1:5" ht="15.75">
      <c r="A121" s="28"/>
      <c r="B121" s="25" t="s">
        <v>761</v>
      </c>
      <c r="C121" s="19" t="s">
        <v>758</v>
      </c>
      <c r="D121" s="30">
        <v>11.6</v>
      </c>
      <c r="E121" s="21"/>
    </row>
    <row r="122" spans="1:5" ht="15.75">
      <c r="A122" s="28"/>
      <c r="B122" s="25" t="s">
        <v>781</v>
      </c>
      <c r="C122" s="19" t="s">
        <v>776</v>
      </c>
      <c r="D122" s="29">
        <v>21</v>
      </c>
      <c r="E122" s="21"/>
    </row>
    <row r="123" spans="1:5" ht="47.25">
      <c r="A123" s="28"/>
      <c r="B123" s="25" t="s">
        <v>782</v>
      </c>
      <c r="C123" s="19" t="s">
        <v>783</v>
      </c>
      <c r="D123" s="29">
        <v>21</v>
      </c>
      <c r="E123" s="21"/>
    </row>
    <row r="124" spans="1:5" ht="31.5">
      <c r="A124" s="28"/>
      <c r="B124" s="25" t="s">
        <v>784</v>
      </c>
      <c r="C124" s="19" t="s">
        <v>785</v>
      </c>
      <c r="D124" s="29">
        <v>18.786</v>
      </c>
      <c r="E124" s="21"/>
    </row>
    <row r="125" spans="1:5" ht="31.5">
      <c r="A125" s="28"/>
      <c r="B125" s="25" t="s">
        <v>786</v>
      </c>
      <c r="C125" s="19" t="s">
        <v>787</v>
      </c>
      <c r="D125" s="29">
        <v>29.984</v>
      </c>
      <c r="E125" s="21"/>
    </row>
    <row r="126" spans="1:5" ht="15.75">
      <c r="A126" s="28"/>
      <c r="B126" s="25" t="s">
        <v>754</v>
      </c>
      <c r="C126" s="19" t="s">
        <v>788</v>
      </c>
      <c r="D126" s="29">
        <v>54</v>
      </c>
      <c r="E126" s="21"/>
    </row>
    <row r="127" spans="1:5" ht="15.75">
      <c r="A127" s="28"/>
      <c r="B127" s="40" t="s">
        <v>1023</v>
      </c>
      <c r="C127" s="21"/>
      <c r="D127" s="84">
        <f>SUM(D99:D126)</f>
        <v>1164.9569999999999</v>
      </c>
      <c r="E127" s="21"/>
    </row>
    <row r="128" spans="2:5" ht="18.75">
      <c r="B128" s="250" t="s">
        <v>1024</v>
      </c>
      <c r="C128" s="250"/>
      <c r="D128" s="250"/>
      <c r="E128" s="250"/>
    </row>
    <row r="129" spans="2:5" ht="15.75">
      <c r="B129" s="21" t="s">
        <v>1014</v>
      </c>
      <c r="C129" s="242" t="s">
        <v>1015</v>
      </c>
      <c r="D129" s="63">
        <v>6.971</v>
      </c>
      <c r="E129" s="12"/>
    </row>
    <row r="130" spans="2:5" ht="15.75">
      <c r="B130" s="21" t="s">
        <v>1016</v>
      </c>
      <c r="C130" s="243"/>
      <c r="D130" s="63">
        <v>19.344</v>
      </c>
      <c r="E130" s="12"/>
    </row>
    <row r="131" spans="2:5" ht="15.75">
      <c r="B131" s="21" t="s">
        <v>1017</v>
      </c>
      <c r="C131" s="243"/>
      <c r="D131" s="131">
        <v>7.423</v>
      </c>
      <c r="E131" s="12"/>
    </row>
    <row r="132" spans="2:5" ht="15.75">
      <c r="B132" s="21" t="s">
        <v>1018</v>
      </c>
      <c r="C132" s="244"/>
      <c r="D132" s="132">
        <v>8</v>
      </c>
      <c r="E132" s="12"/>
    </row>
    <row r="133" spans="2:5" ht="15.75">
      <c r="B133" s="21" t="s">
        <v>1019</v>
      </c>
      <c r="C133" s="242" t="s">
        <v>1020</v>
      </c>
      <c r="D133" s="131">
        <v>12.872</v>
      </c>
      <c r="E133" s="12"/>
    </row>
    <row r="134" spans="2:5" ht="15.75">
      <c r="B134" s="21" t="s">
        <v>1021</v>
      </c>
      <c r="C134" s="243"/>
      <c r="D134" s="131">
        <v>19.6</v>
      </c>
      <c r="E134" s="12"/>
    </row>
    <row r="135" spans="2:5" ht="15.75">
      <c r="B135" s="21" t="s">
        <v>1022</v>
      </c>
      <c r="C135" s="244"/>
      <c r="D135" s="131">
        <v>10.79</v>
      </c>
      <c r="E135" s="12"/>
    </row>
    <row r="136" spans="2:5" ht="15.75">
      <c r="B136" s="40" t="s">
        <v>1023</v>
      </c>
      <c r="C136" s="12"/>
      <c r="D136" s="80">
        <v>85</v>
      </c>
      <c r="E136" s="12"/>
    </row>
    <row r="137" spans="2:6" ht="18.75">
      <c r="B137" s="240" t="s">
        <v>1075</v>
      </c>
      <c r="C137" s="240"/>
      <c r="D137" s="240"/>
      <c r="E137" s="240"/>
      <c r="F137" s="240"/>
    </row>
    <row r="138" spans="2:5" ht="31.5">
      <c r="B138" s="16" t="s">
        <v>1085</v>
      </c>
      <c r="C138" s="9" t="s">
        <v>1086</v>
      </c>
      <c r="D138" s="49">
        <v>180</v>
      </c>
      <c r="E138" s="12"/>
    </row>
    <row r="139" spans="2:5" ht="15.75">
      <c r="B139" s="16" t="s">
        <v>1087</v>
      </c>
      <c r="C139" s="247" t="s">
        <v>1088</v>
      </c>
      <c r="D139" s="49">
        <v>11.55</v>
      </c>
      <c r="E139" s="12"/>
    </row>
    <row r="140" spans="2:5" ht="15.75">
      <c r="B140" s="16" t="s">
        <v>1089</v>
      </c>
      <c r="C140" s="248"/>
      <c r="D140" s="49">
        <v>9.35</v>
      </c>
      <c r="E140" s="12"/>
    </row>
    <row r="141" spans="2:5" ht="15.75">
      <c r="B141" s="16" t="s">
        <v>1090</v>
      </c>
      <c r="C141" s="248"/>
      <c r="D141" s="49">
        <v>7.25</v>
      </c>
      <c r="E141" s="12"/>
    </row>
    <row r="142" spans="2:5" ht="15.75">
      <c r="B142" s="16" t="s">
        <v>1090</v>
      </c>
      <c r="C142" s="248"/>
      <c r="D142" s="49">
        <v>7.25</v>
      </c>
      <c r="E142" s="12"/>
    </row>
    <row r="143" spans="2:5" ht="15.75">
      <c r="B143" s="16" t="s">
        <v>1091</v>
      </c>
      <c r="C143" s="248"/>
      <c r="D143" s="49">
        <v>8.3</v>
      </c>
      <c r="E143" s="12"/>
    </row>
    <row r="144" spans="2:5" ht="15.75">
      <c r="B144" s="16" t="s">
        <v>1092</v>
      </c>
      <c r="C144" s="248"/>
      <c r="D144" s="49">
        <v>8.68</v>
      </c>
      <c r="E144" s="12"/>
    </row>
    <row r="145" spans="2:5" ht="15.75">
      <c r="B145" s="16" t="s">
        <v>1092</v>
      </c>
      <c r="C145" s="248"/>
      <c r="D145" s="49">
        <v>8.68</v>
      </c>
      <c r="E145" s="12"/>
    </row>
    <row r="146" spans="2:5" ht="15.75">
      <c r="B146" s="16" t="s">
        <v>1093</v>
      </c>
      <c r="C146" s="233"/>
      <c r="D146" s="49">
        <v>27.939</v>
      </c>
      <c r="E146" s="12"/>
    </row>
    <row r="147" spans="2:5" ht="15.75">
      <c r="B147" s="50" t="s">
        <v>1084</v>
      </c>
      <c r="C147" s="21"/>
      <c r="D147" s="52">
        <f>D138+D139+D140+D141+D142+D143+D144+D145+D146</f>
        <v>268.999</v>
      </c>
      <c r="E147" s="12"/>
    </row>
    <row r="148" spans="2:6" ht="18.75">
      <c r="B148" s="240" t="s">
        <v>1153</v>
      </c>
      <c r="C148" s="240"/>
      <c r="D148" s="240"/>
      <c r="E148" s="240"/>
      <c r="F148" s="240"/>
    </row>
    <row r="149" spans="1:6" ht="15.75">
      <c r="A149" s="1"/>
      <c r="B149" s="16" t="s">
        <v>1165</v>
      </c>
      <c r="C149" s="247" t="s">
        <v>1166</v>
      </c>
      <c r="D149" s="55">
        <v>21.204</v>
      </c>
      <c r="E149" s="17" t="s">
        <v>1167</v>
      </c>
      <c r="F149" s="2"/>
    </row>
    <row r="150" spans="1:6" ht="15.75">
      <c r="A150" s="1"/>
      <c r="B150" s="16" t="s">
        <v>1168</v>
      </c>
      <c r="C150" s="233"/>
      <c r="D150" s="55">
        <v>48.994</v>
      </c>
      <c r="E150" s="17"/>
      <c r="F150" s="2"/>
    </row>
    <row r="151" spans="1:6" ht="15.75">
      <c r="A151" s="1"/>
      <c r="B151" s="56" t="s">
        <v>1169</v>
      </c>
      <c r="C151" s="247" t="s">
        <v>1170</v>
      </c>
      <c r="D151" s="55">
        <v>79.8</v>
      </c>
      <c r="E151" s="29" t="s">
        <v>1171</v>
      </c>
      <c r="F151" s="2"/>
    </row>
    <row r="152" spans="1:6" ht="15.75">
      <c r="A152" s="1"/>
      <c r="B152" s="56" t="s">
        <v>1172</v>
      </c>
      <c r="C152" s="248"/>
      <c r="D152" s="55">
        <v>39.88</v>
      </c>
      <c r="E152" s="29"/>
      <c r="F152" s="2"/>
    </row>
    <row r="153" spans="1:6" ht="15.75">
      <c r="A153" s="1"/>
      <c r="B153" s="56" t="s">
        <v>1173</v>
      </c>
      <c r="C153" s="233"/>
      <c r="D153" s="55">
        <v>30.2</v>
      </c>
      <c r="E153" s="29" t="s">
        <v>1174</v>
      </c>
      <c r="F153" s="2"/>
    </row>
    <row r="154" spans="1:6" ht="31.5">
      <c r="A154" s="1"/>
      <c r="B154" s="56" t="s">
        <v>1175</v>
      </c>
      <c r="C154" s="247" t="s">
        <v>1176</v>
      </c>
      <c r="D154" s="55">
        <v>21.89</v>
      </c>
      <c r="E154" s="17"/>
      <c r="F154" s="2"/>
    </row>
    <row r="155" spans="1:6" ht="15.75">
      <c r="A155" s="1"/>
      <c r="B155" s="56" t="s">
        <v>1177</v>
      </c>
      <c r="C155" s="233"/>
      <c r="D155" s="55">
        <v>15.99</v>
      </c>
      <c r="E155" s="17"/>
      <c r="F155" s="2"/>
    </row>
    <row r="156" spans="1:6" ht="15.75">
      <c r="A156" s="257" t="s">
        <v>1178</v>
      </c>
      <c r="B156" s="258"/>
      <c r="C156" s="258"/>
      <c r="D156" s="258"/>
      <c r="E156" s="259"/>
      <c r="F156" s="4"/>
    </row>
    <row r="157" spans="1:6" ht="31.5">
      <c r="A157" s="1"/>
      <c r="B157" s="56" t="s">
        <v>1179</v>
      </c>
      <c r="C157" s="247" t="s">
        <v>1180</v>
      </c>
      <c r="D157" s="57">
        <v>99.586</v>
      </c>
      <c r="E157" s="17"/>
      <c r="F157" s="252" t="s">
        <v>1181</v>
      </c>
    </row>
    <row r="158" spans="1:6" ht="15.75">
      <c r="A158" s="1"/>
      <c r="B158" s="56" t="s">
        <v>1182</v>
      </c>
      <c r="C158" s="248"/>
      <c r="D158" s="57">
        <v>24.179</v>
      </c>
      <c r="E158" s="17"/>
      <c r="F158" s="260"/>
    </row>
    <row r="159" spans="1:6" ht="15.75">
      <c r="A159" s="1"/>
      <c r="B159" s="56" t="s">
        <v>1183</v>
      </c>
      <c r="C159" s="248"/>
      <c r="D159" s="57">
        <v>69.225</v>
      </c>
      <c r="E159" s="58" t="s">
        <v>1184</v>
      </c>
      <c r="F159" s="253"/>
    </row>
    <row r="160" spans="1:6" ht="28.5" customHeight="1">
      <c r="A160" s="1"/>
      <c r="B160" s="56" t="s">
        <v>1185</v>
      </c>
      <c r="C160" s="248"/>
      <c r="D160" s="57">
        <v>122.344</v>
      </c>
      <c r="E160" s="58" t="s">
        <v>1186</v>
      </c>
      <c r="F160" s="231" t="s">
        <v>1187</v>
      </c>
    </row>
    <row r="161" spans="1:6" ht="27.75" customHeight="1">
      <c r="A161" s="1"/>
      <c r="B161" s="56" t="s">
        <v>1188</v>
      </c>
      <c r="C161" s="233"/>
      <c r="D161" s="57">
        <v>62.65</v>
      </c>
      <c r="E161" s="58" t="s">
        <v>1189</v>
      </c>
      <c r="F161" s="232"/>
    </row>
    <row r="162" spans="1:6" ht="15.75">
      <c r="A162" s="1"/>
      <c r="B162" s="59" t="s">
        <v>1190</v>
      </c>
      <c r="C162" s="247" t="s">
        <v>1191</v>
      </c>
      <c r="D162" s="57">
        <v>26.81</v>
      </c>
      <c r="E162" s="17"/>
      <c r="F162" s="252" t="s">
        <v>1192</v>
      </c>
    </row>
    <row r="163" spans="1:6" ht="15.75">
      <c r="A163" s="1"/>
      <c r="B163" s="56" t="s">
        <v>1193</v>
      </c>
      <c r="C163" s="248"/>
      <c r="D163" s="57">
        <v>29.25</v>
      </c>
      <c r="E163" s="17"/>
      <c r="F163" s="260"/>
    </row>
    <row r="164" spans="1:6" ht="15.75">
      <c r="A164" s="1"/>
      <c r="B164" s="56" t="s">
        <v>1194</v>
      </c>
      <c r="C164" s="248"/>
      <c r="D164" s="57">
        <v>18.166</v>
      </c>
      <c r="E164" s="17"/>
      <c r="F164" s="260"/>
    </row>
    <row r="165" spans="1:6" ht="15.75">
      <c r="A165" s="1"/>
      <c r="B165" s="56" t="s">
        <v>1195</v>
      </c>
      <c r="C165" s="248"/>
      <c r="D165" s="57">
        <v>83.874</v>
      </c>
      <c r="E165" s="17"/>
      <c r="F165" s="260"/>
    </row>
    <row r="166" spans="1:6" ht="15.75">
      <c r="A166" s="9"/>
      <c r="B166" s="56" t="s">
        <v>1196</v>
      </c>
      <c r="C166" s="233"/>
      <c r="D166" s="57">
        <v>39.4</v>
      </c>
      <c r="E166" s="17" t="s">
        <v>1197</v>
      </c>
      <c r="F166" s="253"/>
    </row>
    <row r="167" spans="1:6" ht="38.25">
      <c r="A167" s="9"/>
      <c r="B167" s="56" t="s">
        <v>1198</v>
      </c>
      <c r="C167" s="247" t="s">
        <v>1199</v>
      </c>
      <c r="D167" s="60">
        <v>1434.955</v>
      </c>
      <c r="E167" s="61" t="s">
        <v>1200</v>
      </c>
      <c r="F167" s="54" t="s">
        <v>1201</v>
      </c>
    </row>
    <row r="168" spans="1:6" ht="38.25">
      <c r="A168" s="9"/>
      <c r="B168" s="56" t="s">
        <v>1202</v>
      </c>
      <c r="C168" s="233"/>
      <c r="D168" s="60">
        <v>5147</v>
      </c>
      <c r="E168" s="61" t="s">
        <v>1203</v>
      </c>
      <c r="F168" s="62" t="s">
        <v>1204</v>
      </c>
    </row>
    <row r="169" spans="1:6" ht="27.75" customHeight="1">
      <c r="A169" s="9"/>
      <c r="B169" s="56" t="s">
        <v>1205</v>
      </c>
      <c r="C169" s="247" t="s">
        <v>1206</v>
      </c>
      <c r="D169" s="60">
        <v>35.8</v>
      </c>
      <c r="E169" s="61" t="s">
        <v>1207</v>
      </c>
      <c r="F169" s="252" t="s">
        <v>1208</v>
      </c>
    </row>
    <row r="170" spans="1:6" ht="27.75" customHeight="1">
      <c r="A170" s="9"/>
      <c r="B170" s="56" t="s">
        <v>1205</v>
      </c>
      <c r="C170" s="233"/>
      <c r="D170" s="60">
        <v>62.9</v>
      </c>
      <c r="E170" s="61"/>
      <c r="F170" s="253"/>
    </row>
    <row r="171" spans="1:6" ht="15.75">
      <c r="A171" s="9"/>
      <c r="B171" s="56" t="s">
        <v>1209</v>
      </c>
      <c r="C171" s="247" t="s">
        <v>1210</v>
      </c>
      <c r="D171" s="60">
        <v>30.32</v>
      </c>
      <c r="E171" s="58" t="s">
        <v>1211</v>
      </c>
      <c r="F171" s="254" t="s">
        <v>1212</v>
      </c>
    </row>
    <row r="172" spans="1:6" ht="15.75">
      <c r="A172" s="9"/>
      <c r="B172" s="56" t="s">
        <v>1209</v>
      </c>
      <c r="C172" s="248"/>
      <c r="D172" s="60">
        <v>21.002</v>
      </c>
      <c r="E172" s="58" t="s">
        <v>1213</v>
      </c>
      <c r="F172" s="255"/>
    </row>
    <row r="173" spans="1:6" ht="15.75">
      <c r="A173" s="9"/>
      <c r="B173" s="56" t="s">
        <v>1209</v>
      </c>
      <c r="C173" s="248"/>
      <c r="D173" s="60">
        <v>24.6</v>
      </c>
      <c r="E173" s="58" t="s">
        <v>1214</v>
      </c>
      <c r="F173" s="255"/>
    </row>
    <row r="174" spans="1:6" ht="15.75">
      <c r="A174" s="9"/>
      <c r="B174" s="56" t="s">
        <v>1215</v>
      </c>
      <c r="C174" s="248"/>
      <c r="D174" s="60">
        <v>19.778</v>
      </c>
      <c r="E174" s="58"/>
      <c r="F174" s="255"/>
    </row>
    <row r="175" spans="1:6" ht="15.75">
      <c r="A175" s="9"/>
      <c r="B175" s="56" t="s">
        <v>1215</v>
      </c>
      <c r="C175" s="248"/>
      <c r="D175" s="60">
        <v>34</v>
      </c>
      <c r="E175" s="58" t="s">
        <v>1216</v>
      </c>
      <c r="F175" s="255"/>
    </row>
    <row r="176" spans="1:6" ht="15.75">
      <c r="A176" s="9"/>
      <c r="B176" s="56" t="s">
        <v>1215</v>
      </c>
      <c r="C176" s="248"/>
      <c r="D176" s="60">
        <v>12.8</v>
      </c>
      <c r="E176" s="58"/>
      <c r="F176" s="255"/>
    </row>
    <row r="177" spans="1:6" ht="15.75">
      <c r="A177" s="9"/>
      <c r="B177" s="56" t="s">
        <v>1217</v>
      </c>
      <c r="C177" s="248"/>
      <c r="D177" s="60">
        <v>49.2</v>
      </c>
      <c r="E177" s="58" t="s">
        <v>1218</v>
      </c>
      <c r="F177" s="255"/>
    </row>
    <row r="178" spans="1:6" ht="15.75">
      <c r="A178" s="9"/>
      <c r="B178" s="56" t="s">
        <v>1219</v>
      </c>
      <c r="C178" s="248"/>
      <c r="D178" s="60">
        <v>6.3</v>
      </c>
      <c r="E178" s="58"/>
      <c r="F178" s="256"/>
    </row>
    <row r="179" spans="1:6" ht="38.25">
      <c r="A179" s="9"/>
      <c r="B179" s="56" t="s">
        <v>1220</v>
      </c>
      <c r="C179" s="233"/>
      <c r="D179" s="60">
        <v>199.751</v>
      </c>
      <c r="E179" s="17"/>
      <c r="F179" s="54" t="s">
        <v>1221</v>
      </c>
    </row>
    <row r="180" spans="1:6" ht="39">
      <c r="A180" s="21"/>
      <c r="B180" s="56" t="s">
        <v>1222</v>
      </c>
      <c r="C180" s="63" t="s">
        <v>1206</v>
      </c>
      <c r="D180" s="60">
        <v>196</v>
      </c>
      <c r="E180" s="63"/>
      <c r="F180" s="62" t="s">
        <v>1223</v>
      </c>
    </row>
    <row r="181" spans="2:6" ht="18.75">
      <c r="B181" s="240" t="s">
        <v>1231</v>
      </c>
      <c r="C181" s="240"/>
      <c r="D181" s="240"/>
      <c r="E181" s="240"/>
      <c r="F181" s="240"/>
    </row>
    <row r="182" spans="2:5" s="28" customFormat="1" ht="15.75">
      <c r="B182" s="16" t="s">
        <v>1232</v>
      </c>
      <c r="C182" s="9" t="s">
        <v>1233</v>
      </c>
      <c r="D182" s="49">
        <v>31.892</v>
      </c>
      <c r="E182" s="21"/>
    </row>
    <row r="183" spans="2:5" s="28" customFormat="1" ht="15.75">
      <c r="B183" s="85" t="s">
        <v>1234</v>
      </c>
      <c r="C183" s="9" t="s">
        <v>1235</v>
      </c>
      <c r="D183" s="49">
        <v>6.715</v>
      </c>
      <c r="E183" s="21"/>
    </row>
    <row r="184" spans="2:5" s="28" customFormat="1" ht="31.5">
      <c r="B184" s="16" t="s">
        <v>1236</v>
      </c>
      <c r="C184" s="9" t="s">
        <v>1235</v>
      </c>
      <c r="D184" s="49">
        <v>6.555</v>
      </c>
      <c r="E184" s="21"/>
    </row>
    <row r="185" spans="2:5" s="28" customFormat="1" ht="17.25" customHeight="1">
      <c r="B185" s="16" t="s">
        <v>1237</v>
      </c>
      <c r="C185" s="9" t="s">
        <v>1233</v>
      </c>
      <c r="D185" s="49">
        <v>9.046</v>
      </c>
      <c r="E185" s="21"/>
    </row>
    <row r="186" spans="2:5" s="28" customFormat="1" ht="15.75">
      <c r="B186" s="16" t="s">
        <v>1238</v>
      </c>
      <c r="C186" s="9" t="s">
        <v>1233</v>
      </c>
      <c r="D186" s="49">
        <v>14.546</v>
      </c>
      <c r="E186" s="21"/>
    </row>
    <row r="187" spans="2:5" s="28" customFormat="1" ht="36" customHeight="1">
      <c r="B187" s="20" t="s">
        <v>1239</v>
      </c>
      <c r="C187" s="9" t="s">
        <v>1235</v>
      </c>
      <c r="D187" s="57">
        <v>10.995</v>
      </c>
      <c r="E187" s="21"/>
    </row>
    <row r="188" spans="2:5" s="28" customFormat="1" ht="15.75">
      <c r="B188" s="21" t="s">
        <v>1240</v>
      </c>
      <c r="C188" s="9" t="s">
        <v>1233</v>
      </c>
      <c r="D188" s="130">
        <v>20.6</v>
      </c>
      <c r="E188" s="21"/>
    </row>
    <row r="189" spans="2:5" s="28" customFormat="1" ht="15.75">
      <c r="B189" s="21" t="s">
        <v>1241</v>
      </c>
      <c r="C189" s="9" t="s">
        <v>1235</v>
      </c>
      <c r="D189" s="130">
        <v>12.66</v>
      </c>
      <c r="E189" s="21"/>
    </row>
    <row r="190" spans="2:6" ht="18.75">
      <c r="B190" s="240" t="s">
        <v>1290</v>
      </c>
      <c r="C190" s="240"/>
      <c r="D190" s="240"/>
      <c r="E190" s="240"/>
      <c r="F190" s="240"/>
    </row>
    <row r="191" spans="2:5" s="28" customFormat="1" ht="15.75">
      <c r="B191" s="87" t="s">
        <v>1298</v>
      </c>
      <c r="C191" s="16" t="s">
        <v>1299</v>
      </c>
      <c r="D191" s="88">
        <v>9.975</v>
      </c>
      <c r="E191" s="21"/>
    </row>
    <row r="192" spans="2:5" s="28" customFormat="1" ht="15.75">
      <c r="B192" s="87" t="s">
        <v>1300</v>
      </c>
      <c r="C192" s="247" t="s">
        <v>1301</v>
      </c>
      <c r="D192" s="88">
        <v>19.75</v>
      </c>
      <c r="E192" s="21"/>
    </row>
    <row r="193" spans="2:5" s="28" customFormat="1" ht="15.75">
      <c r="B193" s="87" t="s">
        <v>1302</v>
      </c>
      <c r="C193" s="248"/>
      <c r="D193" s="88">
        <v>8.916</v>
      </c>
      <c r="E193" s="21"/>
    </row>
    <row r="194" spans="2:5" s="28" customFormat="1" ht="15.75">
      <c r="B194" s="87" t="s">
        <v>1302</v>
      </c>
      <c r="C194" s="248"/>
      <c r="D194" s="88">
        <v>8.916</v>
      </c>
      <c r="E194" s="21"/>
    </row>
    <row r="195" spans="2:5" s="28" customFormat="1" ht="15.75">
      <c r="B195" s="87" t="s">
        <v>1303</v>
      </c>
      <c r="C195" s="248"/>
      <c r="D195" s="88">
        <v>62.495</v>
      </c>
      <c r="E195" s="21"/>
    </row>
    <row r="196" spans="2:5" s="28" customFormat="1" ht="15.75">
      <c r="B196" s="87" t="s">
        <v>1304</v>
      </c>
      <c r="C196" s="248"/>
      <c r="D196" s="88">
        <v>8.919</v>
      </c>
      <c r="E196" s="21"/>
    </row>
    <row r="197" spans="2:5" s="28" customFormat="1" ht="15.75">
      <c r="B197" s="87" t="s">
        <v>1305</v>
      </c>
      <c r="C197" s="248"/>
      <c r="D197" s="88">
        <v>8.295</v>
      </c>
      <c r="E197" s="21"/>
    </row>
    <row r="198" spans="2:5" s="28" customFormat="1" ht="15.75">
      <c r="B198" s="87" t="s">
        <v>1306</v>
      </c>
      <c r="C198" s="248"/>
      <c r="D198" s="88">
        <v>13.95</v>
      </c>
      <c r="E198" s="21"/>
    </row>
    <row r="199" spans="2:5" s="28" customFormat="1" ht="15.75">
      <c r="B199" s="87" t="s">
        <v>1307</v>
      </c>
      <c r="C199" s="248"/>
      <c r="D199" s="88">
        <v>7.963</v>
      </c>
      <c r="E199" s="21"/>
    </row>
    <row r="200" spans="2:5" s="28" customFormat="1" ht="15.75">
      <c r="B200" s="87" t="s">
        <v>1308</v>
      </c>
      <c r="C200" s="248"/>
      <c r="D200" s="88">
        <v>8</v>
      </c>
      <c r="E200" s="21"/>
    </row>
    <row r="201" spans="2:5" s="28" customFormat="1" ht="15.75">
      <c r="B201" s="47" t="s">
        <v>1309</v>
      </c>
      <c r="C201" s="248"/>
      <c r="D201" s="88">
        <v>7</v>
      </c>
      <c r="E201" s="21"/>
    </row>
    <row r="202" spans="2:5" s="28" customFormat="1" ht="15.75">
      <c r="B202" s="47" t="s">
        <v>1309</v>
      </c>
      <c r="C202" s="248"/>
      <c r="D202" s="88">
        <v>7</v>
      </c>
      <c r="E202" s="21"/>
    </row>
    <row r="203" spans="2:5" s="28" customFormat="1" ht="15.75">
      <c r="B203" s="47" t="s">
        <v>1310</v>
      </c>
      <c r="C203" s="233"/>
      <c r="D203" s="88">
        <v>8.14</v>
      </c>
      <c r="E203" s="21"/>
    </row>
    <row r="204" spans="2:5" s="28" customFormat="1" ht="15.75">
      <c r="B204" s="87" t="s">
        <v>1311</v>
      </c>
      <c r="C204" s="261" t="s">
        <v>769</v>
      </c>
      <c r="D204" s="88">
        <v>10.57</v>
      </c>
      <c r="E204" s="21"/>
    </row>
    <row r="205" spans="2:5" s="28" customFormat="1" ht="15.75">
      <c r="B205" s="87" t="s">
        <v>1311</v>
      </c>
      <c r="C205" s="262"/>
      <c r="D205" s="88">
        <v>10.57</v>
      </c>
      <c r="E205" s="21"/>
    </row>
    <row r="206" spans="2:5" s="28" customFormat="1" ht="15.75">
      <c r="B206" s="47" t="s">
        <v>1312</v>
      </c>
      <c r="C206" s="262"/>
      <c r="D206" s="88">
        <v>10.79</v>
      </c>
      <c r="E206" s="21"/>
    </row>
    <row r="207" spans="2:5" s="28" customFormat="1" ht="15.75">
      <c r="B207" s="47" t="s">
        <v>1313</v>
      </c>
      <c r="C207" s="262"/>
      <c r="D207" s="88">
        <v>13.26</v>
      </c>
      <c r="E207" s="21"/>
    </row>
    <row r="208" spans="2:5" s="28" customFormat="1" ht="15.75">
      <c r="B208" s="47" t="s">
        <v>1314</v>
      </c>
      <c r="C208" s="262"/>
      <c r="D208" s="88">
        <v>7.298</v>
      </c>
      <c r="E208" s="21"/>
    </row>
    <row r="209" spans="2:5" s="28" customFormat="1" ht="15.75">
      <c r="B209" s="47" t="s">
        <v>1315</v>
      </c>
      <c r="C209" s="262"/>
      <c r="D209" s="88">
        <v>11.512</v>
      </c>
      <c r="E209" s="21"/>
    </row>
    <row r="210" spans="2:5" s="28" customFormat="1" ht="15.75">
      <c r="B210" s="47" t="s">
        <v>1316</v>
      </c>
      <c r="C210" s="262"/>
      <c r="D210" s="88">
        <v>6.5</v>
      </c>
      <c r="E210" s="21"/>
    </row>
    <row r="211" spans="2:5" s="28" customFormat="1" ht="15.75">
      <c r="B211" s="47" t="s">
        <v>1317</v>
      </c>
      <c r="C211" s="263"/>
      <c r="D211" s="88">
        <v>6.05</v>
      </c>
      <c r="E211" s="21"/>
    </row>
    <row r="212" spans="2:5" s="28" customFormat="1" ht="15.75">
      <c r="B212" s="47" t="s">
        <v>1318</v>
      </c>
      <c r="C212" s="247" t="s">
        <v>1299</v>
      </c>
      <c r="D212" s="88">
        <v>6.122</v>
      </c>
      <c r="E212" s="21"/>
    </row>
    <row r="213" spans="2:5" s="28" customFormat="1" ht="15.75">
      <c r="B213" s="47" t="s">
        <v>1318</v>
      </c>
      <c r="C213" s="248"/>
      <c r="D213" s="88">
        <v>6.122</v>
      </c>
      <c r="E213" s="21"/>
    </row>
    <row r="214" spans="2:5" s="28" customFormat="1" ht="15.75">
      <c r="B214" s="47" t="s">
        <v>1319</v>
      </c>
      <c r="C214" s="248"/>
      <c r="D214" s="88">
        <v>11.935</v>
      </c>
      <c r="E214" s="21"/>
    </row>
    <row r="215" spans="2:5" s="28" customFormat="1" ht="15.75">
      <c r="B215" s="47" t="s">
        <v>1319</v>
      </c>
      <c r="C215" s="248"/>
      <c r="D215" s="88">
        <v>11.935</v>
      </c>
      <c r="E215" s="21"/>
    </row>
    <row r="216" spans="2:5" s="28" customFormat="1" ht="15.75">
      <c r="B216" s="47" t="s">
        <v>1320</v>
      </c>
      <c r="C216" s="248"/>
      <c r="D216" s="88">
        <v>8.654</v>
      </c>
      <c r="E216" s="21"/>
    </row>
    <row r="217" spans="2:5" s="28" customFormat="1" ht="15.75">
      <c r="B217" s="47" t="s">
        <v>1320</v>
      </c>
      <c r="C217" s="248"/>
      <c r="D217" s="88">
        <v>8.654</v>
      </c>
      <c r="E217" s="21"/>
    </row>
    <row r="218" spans="2:5" s="28" customFormat="1" ht="15.75">
      <c r="B218" s="47" t="s">
        <v>1321</v>
      </c>
      <c r="C218" s="248"/>
      <c r="D218" s="88">
        <v>27.51</v>
      </c>
      <c r="E218" s="21"/>
    </row>
    <row r="219" spans="2:5" s="28" customFormat="1" ht="15.75">
      <c r="B219" s="47" t="s">
        <v>1322</v>
      </c>
      <c r="C219" s="233"/>
      <c r="D219" s="88">
        <v>15.999</v>
      </c>
      <c r="E219" s="21"/>
    </row>
    <row r="220" spans="2:5" s="28" customFormat="1" ht="15.75">
      <c r="B220" s="47" t="s">
        <v>1323</v>
      </c>
      <c r="C220" s="50" t="s">
        <v>1324</v>
      </c>
      <c r="D220" s="88">
        <v>36.6</v>
      </c>
      <c r="E220" s="21"/>
    </row>
    <row r="221" spans="2:5" ht="18.75">
      <c r="B221" s="250" t="s">
        <v>1331</v>
      </c>
      <c r="C221" s="250"/>
      <c r="D221" s="250"/>
      <c r="E221" s="250"/>
    </row>
    <row r="222" spans="2:5" s="28" customFormat="1" ht="15.75">
      <c r="B222" s="31" t="s">
        <v>1341</v>
      </c>
      <c r="C222" s="77" t="s">
        <v>1342</v>
      </c>
      <c r="D222" s="135">
        <v>81.8979</v>
      </c>
      <c r="E222" s="21"/>
    </row>
    <row r="223" spans="2:5" s="28" customFormat="1" ht="15.75">
      <c r="B223" s="31" t="s">
        <v>1343</v>
      </c>
      <c r="C223" s="77" t="s">
        <v>1344</v>
      </c>
      <c r="D223" s="135">
        <v>199.555</v>
      </c>
      <c r="E223" s="21"/>
    </row>
    <row r="224" spans="2:5" s="28" customFormat="1" ht="15.75">
      <c r="B224" s="31" t="s">
        <v>1345</v>
      </c>
      <c r="C224" s="77" t="s">
        <v>1344</v>
      </c>
      <c r="D224" s="135">
        <v>198.5</v>
      </c>
      <c r="E224" s="21"/>
    </row>
    <row r="225" spans="2:5" s="28" customFormat="1" ht="15.75">
      <c r="B225" s="31" t="s">
        <v>1346</v>
      </c>
      <c r="C225" s="77" t="s">
        <v>1347</v>
      </c>
      <c r="D225" s="135">
        <v>64.78998</v>
      </c>
      <c r="E225" s="21"/>
    </row>
    <row r="226" spans="2:5" s="28" customFormat="1" ht="15.75">
      <c r="B226" s="31" t="s">
        <v>1348</v>
      </c>
      <c r="C226" s="77" t="s">
        <v>1301</v>
      </c>
      <c r="D226" s="135">
        <v>107.373</v>
      </c>
      <c r="E226" s="21"/>
    </row>
    <row r="227" spans="2:5" s="28" customFormat="1" ht="31.5">
      <c r="B227" s="31" t="s">
        <v>1349</v>
      </c>
      <c r="C227" s="77" t="s">
        <v>1350</v>
      </c>
      <c r="D227" s="135">
        <v>10.69</v>
      </c>
      <c r="E227" s="21"/>
    </row>
    <row r="228" spans="2:5" s="28" customFormat="1" ht="31.5">
      <c r="B228" s="31" t="s">
        <v>1351</v>
      </c>
      <c r="C228" s="77" t="s">
        <v>1352</v>
      </c>
      <c r="D228" s="135">
        <v>40.75</v>
      </c>
      <c r="E228" s="21"/>
    </row>
    <row r="229" spans="2:5" s="28" customFormat="1" ht="15.75">
      <c r="B229" s="31" t="s">
        <v>1353</v>
      </c>
      <c r="C229" s="77" t="s">
        <v>1354</v>
      </c>
      <c r="D229" s="135">
        <v>6.4</v>
      </c>
      <c r="E229" s="21"/>
    </row>
    <row r="230" spans="2:5" s="28" customFormat="1" ht="15.75">
      <c r="B230" s="31" t="s">
        <v>1355</v>
      </c>
      <c r="C230" s="76" t="s">
        <v>1356</v>
      </c>
      <c r="D230" s="135">
        <v>800</v>
      </c>
      <c r="E230" s="21"/>
    </row>
    <row r="231" spans="2:5" s="28" customFormat="1" ht="15.75">
      <c r="B231" s="21" t="s">
        <v>1429</v>
      </c>
      <c r="C231" s="21"/>
      <c r="D231" s="130">
        <f>SUM(D222:D230)</f>
        <v>1509.95588</v>
      </c>
      <c r="E231" s="21"/>
    </row>
    <row r="232" spans="2:5" ht="18.75">
      <c r="B232" s="250" t="s">
        <v>1410</v>
      </c>
      <c r="C232" s="250"/>
      <c r="D232" s="250"/>
      <c r="E232" s="250"/>
    </row>
    <row r="233" spans="2:5" s="28" customFormat="1" ht="15.75">
      <c r="B233" s="73" t="s">
        <v>1411</v>
      </c>
      <c r="C233" s="21" t="s">
        <v>1412</v>
      </c>
      <c r="D233" s="63">
        <v>196.6</v>
      </c>
      <c r="E233" s="21"/>
    </row>
    <row r="234" spans="2:5" ht="18.75">
      <c r="B234" s="250" t="s">
        <v>1413</v>
      </c>
      <c r="C234" s="250"/>
      <c r="D234" s="250"/>
      <c r="E234" s="250"/>
    </row>
    <row r="235" spans="2:5" s="28" customFormat="1" ht="15.75">
      <c r="B235" s="21" t="s">
        <v>1416</v>
      </c>
      <c r="C235" s="21" t="s">
        <v>1417</v>
      </c>
      <c r="D235" s="133">
        <v>13.096</v>
      </c>
      <c r="E235" s="21"/>
    </row>
    <row r="236" spans="2:5" s="28" customFormat="1" ht="15.75">
      <c r="B236" s="21" t="s">
        <v>1418</v>
      </c>
      <c r="C236" s="21" t="s">
        <v>1419</v>
      </c>
      <c r="D236" s="133">
        <v>57.97</v>
      </c>
      <c r="E236" s="21"/>
    </row>
    <row r="237" spans="2:5" s="28" customFormat="1" ht="15.75">
      <c r="B237" s="21" t="s">
        <v>1420</v>
      </c>
      <c r="C237" s="21" t="s">
        <v>1419</v>
      </c>
      <c r="D237" s="133">
        <v>30.018</v>
      </c>
      <c r="E237" s="21"/>
    </row>
    <row r="238" spans="2:5" s="28" customFormat="1" ht="15.75">
      <c r="B238" s="21" t="s">
        <v>1421</v>
      </c>
      <c r="C238" s="264" t="s">
        <v>1422</v>
      </c>
      <c r="D238" s="133">
        <v>8</v>
      </c>
      <c r="E238" s="21"/>
    </row>
    <row r="239" spans="2:5" s="28" customFormat="1" ht="15.75">
      <c r="B239" s="21" t="s">
        <v>1423</v>
      </c>
      <c r="C239" s="265"/>
      <c r="D239" s="133">
        <v>8.5</v>
      </c>
      <c r="E239" s="21"/>
    </row>
    <row r="240" spans="2:5" s="28" customFormat="1" ht="15.75">
      <c r="B240" s="21" t="s">
        <v>1424</v>
      </c>
      <c r="C240" s="265"/>
      <c r="D240" s="133">
        <v>7.2</v>
      </c>
      <c r="E240" s="21"/>
    </row>
    <row r="241" spans="2:5" s="28" customFormat="1" ht="15.75">
      <c r="B241" s="21" t="s">
        <v>1425</v>
      </c>
      <c r="C241" s="266"/>
      <c r="D241" s="133">
        <v>6.7</v>
      </c>
      <c r="E241" s="21"/>
    </row>
    <row r="242" spans="2:5" s="28" customFormat="1" ht="15.75">
      <c r="B242" s="21" t="s">
        <v>1426</v>
      </c>
      <c r="C242" s="21" t="s">
        <v>1427</v>
      </c>
      <c r="D242" s="133">
        <v>8.58</v>
      </c>
      <c r="E242" s="21"/>
    </row>
    <row r="243" spans="2:5" s="28" customFormat="1" ht="15.75">
      <c r="B243" s="21" t="s">
        <v>1428</v>
      </c>
      <c r="C243" s="21" t="s">
        <v>1427</v>
      </c>
      <c r="D243" s="133">
        <v>11.262</v>
      </c>
      <c r="E243" s="21"/>
    </row>
    <row r="244" spans="2:5" s="28" customFormat="1" ht="15.75">
      <c r="B244" s="21" t="s">
        <v>1429</v>
      </c>
      <c r="C244" s="21"/>
      <c r="D244" s="134">
        <v>151.326</v>
      </c>
      <c r="E244" s="21"/>
    </row>
    <row r="246" spans="1:5" s="174" customFormat="1" ht="15.75">
      <c r="A246" s="227" t="s">
        <v>8</v>
      </c>
      <c r="B246" s="228"/>
      <c r="C246" s="228"/>
      <c r="D246" s="228"/>
      <c r="E246" s="229"/>
    </row>
    <row r="247" spans="1:5" s="174" customFormat="1" ht="15.75">
      <c r="A247" s="227" t="s">
        <v>9</v>
      </c>
      <c r="B247" s="228"/>
      <c r="C247" s="228"/>
      <c r="D247" s="228"/>
      <c r="E247" s="229"/>
    </row>
    <row r="248" spans="1:5" s="174" customFormat="1" ht="15.75">
      <c r="A248" s="11"/>
      <c r="B248" s="171" t="s">
        <v>10</v>
      </c>
      <c r="C248" s="171" t="s">
        <v>11</v>
      </c>
      <c r="D248" s="172">
        <v>8.35</v>
      </c>
      <c r="E248" s="11"/>
    </row>
    <row r="249" spans="1:5" s="174" customFormat="1" ht="31.5">
      <c r="A249" s="11"/>
      <c r="B249" s="171" t="s">
        <v>12</v>
      </c>
      <c r="C249" s="171" t="s">
        <v>13</v>
      </c>
      <c r="D249" s="172">
        <v>15.899</v>
      </c>
      <c r="E249" s="11"/>
    </row>
    <row r="250" spans="1:5" s="174" customFormat="1" ht="15.75">
      <c r="A250" s="11"/>
      <c r="B250" s="171" t="s">
        <v>14</v>
      </c>
      <c r="C250" s="171" t="s">
        <v>15</v>
      </c>
      <c r="D250" s="172">
        <v>18.2</v>
      </c>
      <c r="E250" s="11"/>
    </row>
    <row r="251" spans="1:5" s="174" customFormat="1" ht="31.5">
      <c r="A251" s="11"/>
      <c r="B251" s="171" t="s">
        <v>16</v>
      </c>
      <c r="C251" s="171" t="s">
        <v>17</v>
      </c>
      <c r="D251" s="172">
        <v>18.76632</v>
      </c>
      <c r="E251" s="11"/>
    </row>
    <row r="252" spans="1:5" s="174" customFormat="1" ht="15.75">
      <c r="A252" s="11"/>
      <c r="B252" s="171" t="s">
        <v>18</v>
      </c>
      <c r="C252" s="171" t="s">
        <v>19</v>
      </c>
      <c r="D252" s="172">
        <v>12.8</v>
      </c>
      <c r="E252" s="11"/>
    </row>
    <row r="253" spans="1:5" s="174" customFormat="1" ht="15.75">
      <c r="A253" s="11"/>
      <c r="B253" s="171" t="s">
        <v>20</v>
      </c>
      <c r="C253" s="171" t="s">
        <v>19</v>
      </c>
      <c r="D253" s="172">
        <v>19.46</v>
      </c>
      <c r="E253" s="11"/>
    </row>
    <row r="254" spans="1:5" s="174" customFormat="1" ht="15.75">
      <c r="A254" s="149"/>
      <c r="B254" s="149" t="s">
        <v>1407</v>
      </c>
      <c r="C254" s="149"/>
      <c r="D254" s="173">
        <f>SUM(D248:D253)</f>
        <v>93.47532000000001</v>
      </c>
      <c r="E254" s="149"/>
    </row>
    <row r="255" spans="1:5" s="174" customFormat="1" ht="15.75">
      <c r="A255" s="227" t="s">
        <v>21</v>
      </c>
      <c r="B255" s="228"/>
      <c r="C255" s="228"/>
      <c r="D255" s="228"/>
      <c r="E255" s="229"/>
    </row>
    <row r="256" spans="1:5" s="174" customFormat="1" ht="15.75">
      <c r="A256" s="227" t="s">
        <v>1489</v>
      </c>
      <c r="B256" s="228"/>
      <c r="C256" s="228"/>
      <c r="D256" s="228"/>
      <c r="E256" s="229"/>
    </row>
    <row r="257" spans="1:5" s="174" customFormat="1" ht="15.75">
      <c r="A257" s="11"/>
      <c r="B257" s="171" t="s">
        <v>22</v>
      </c>
      <c r="C257" s="171" t="s">
        <v>23</v>
      </c>
      <c r="D257" s="172">
        <v>15</v>
      </c>
      <c r="E257" s="171"/>
    </row>
    <row r="258" spans="1:5" s="174" customFormat="1" ht="15.75">
      <c r="A258" s="11"/>
      <c r="B258" s="171" t="s">
        <v>24</v>
      </c>
      <c r="C258" s="171" t="s">
        <v>23</v>
      </c>
      <c r="D258" s="172">
        <v>25</v>
      </c>
      <c r="E258" s="171"/>
    </row>
    <row r="259" spans="1:5" s="174" customFormat="1" ht="15.75">
      <c r="A259" s="11"/>
      <c r="B259" s="171" t="s">
        <v>25</v>
      </c>
      <c r="C259" s="171" t="s">
        <v>26</v>
      </c>
      <c r="D259" s="172">
        <v>24.4</v>
      </c>
      <c r="E259" s="171"/>
    </row>
    <row r="260" spans="1:5" s="174" customFormat="1" ht="15.75">
      <c r="A260" s="11"/>
      <c r="B260" s="171" t="s">
        <v>27</v>
      </c>
      <c r="C260" s="171" t="s">
        <v>26</v>
      </c>
      <c r="D260" s="172">
        <v>7.6</v>
      </c>
      <c r="E260" s="171"/>
    </row>
    <row r="261" spans="1:5" s="174" customFormat="1" ht="15.75">
      <c r="A261" s="11"/>
      <c r="B261" s="171" t="s">
        <v>28</v>
      </c>
      <c r="C261" s="171" t="s">
        <v>23</v>
      </c>
      <c r="D261" s="172">
        <v>48.8</v>
      </c>
      <c r="E261" s="171"/>
    </row>
    <row r="262" spans="1:5" s="174" customFormat="1" ht="19.5" customHeight="1">
      <c r="A262" s="11"/>
      <c r="B262" s="171" t="s">
        <v>29</v>
      </c>
      <c r="C262" s="171" t="s">
        <v>23</v>
      </c>
      <c r="D262" s="172">
        <v>44.8</v>
      </c>
      <c r="E262" s="171"/>
    </row>
    <row r="263" spans="1:5" s="174" customFormat="1" ht="47.25">
      <c r="A263" s="11"/>
      <c r="B263" s="171" t="s">
        <v>30</v>
      </c>
      <c r="C263" s="171" t="s">
        <v>31</v>
      </c>
      <c r="D263" s="172">
        <v>22.1413</v>
      </c>
      <c r="E263" s="171"/>
    </row>
    <row r="264" spans="1:5" s="174" customFormat="1" ht="15.75">
      <c r="A264" s="11"/>
      <c r="B264" s="171" t="s">
        <v>32</v>
      </c>
      <c r="C264" s="171" t="s">
        <v>31</v>
      </c>
      <c r="D264" s="172">
        <v>15.6587</v>
      </c>
      <c r="E264" s="172"/>
    </row>
    <row r="265" spans="1:5" s="174" customFormat="1" ht="15.75">
      <c r="A265" s="11"/>
      <c r="B265" s="171" t="s">
        <v>33</v>
      </c>
      <c r="C265" s="171" t="s">
        <v>1180</v>
      </c>
      <c r="D265" s="172">
        <v>13.89</v>
      </c>
      <c r="E265" s="171"/>
    </row>
    <row r="266" spans="1:5" s="174" customFormat="1" ht="15.75">
      <c r="A266" s="11"/>
      <c r="B266" s="171" t="s">
        <v>34</v>
      </c>
      <c r="C266" s="171" t="s">
        <v>23</v>
      </c>
      <c r="D266" s="172">
        <v>27.143</v>
      </c>
      <c r="E266" s="171"/>
    </row>
    <row r="267" spans="1:5" s="174" customFormat="1" ht="15.75">
      <c r="A267" s="11"/>
      <c r="B267" s="171" t="s">
        <v>35</v>
      </c>
      <c r="C267" s="171" t="s">
        <v>31</v>
      </c>
      <c r="D267" s="172">
        <v>49.8</v>
      </c>
      <c r="E267" s="171"/>
    </row>
    <row r="268" spans="1:5" s="174" customFormat="1" ht="15.75">
      <c r="A268" s="149"/>
      <c r="B268" s="149" t="s">
        <v>1407</v>
      </c>
      <c r="C268" s="149"/>
      <c r="D268" s="173">
        <f>SUM(D257:D267)</f>
        <v>294.233</v>
      </c>
      <c r="E268" s="149"/>
    </row>
    <row r="269" spans="1:5" s="174" customFormat="1" ht="15.75">
      <c r="A269" s="227" t="s">
        <v>1495</v>
      </c>
      <c r="B269" s="228"/>
      <c r="C269" s="228"/>
      <c r="D269" s="228"/>
      <c r="E269" s="229"/>
    </row>
    <row r="270" spans="1:5" s="174" customFormat="1" ht="15.75">
      <c r="A270" s="11"/>
      <c r="B270" s="171" t="s">
        <v>36</v>
      </c>
      <c r="C270" s="171" t="s">
        <v>23</v>
      </c>
      <c r="D270" s="172">
        <v>7.9</v>
      </c>
      <c r="E270" s="11"/>
    </row>
    <row r="271" spans="1:5" s="174" customFormat="1" ht="15.75">
      <c r="A271" s="11"/>
      <c r="B271" s="171" t="s">
        <v>37</v>
      </c>
      <c r="C271" s="171" t="s">
        <v>23</v>
      </c>
      <c r="D271" s="172">
        <v>35.132</v>
      </c>
      <c r="E271" s="11"/>
    </row>
    <row r="272" spans="1:5" s="174" customFormat="1" ht="15.75">
      <c r="A272" s="11"/>
      <c r="B272" s="171" t="s">
        <v>38</v>
      </c>
      <c r="C272" s="171" t="s">
        <v>31</v>
      </c>
      <c r="D272" s="172">
        <v>41.056</v>
      </c>
      <c r="E272" s="11"/>
    </row>
    <row r="273" spans="1:5" s="174" customFormat="1" ht="15.75">
      <c r="A273" s="11"/>
      <c r="B273" s="171" t="s">
        <v>39</v>
      </c>
      <c r="C273" s="171" t="s">
        <v>31</v>
      </c>
      <c r="D273" s="172">
        <v>22.234</v>
      </c>
      <c r="E273" s="11"/>
    </row>
    <row r="274" spans="1:5" s="174" customFormat="1" ht="15.75">
      <c r="A274" s="149"/>
      <c r="B274" s="149" t="s">
        <v>1407</v>
      </c>
      <c r="C274" s="149"/>
      <c r="D274" s="173">
        <f>SUM(D270:D273)</f>
        <v>106.322</v>
      </c>
      <c r="E274" s="149"/>
    </row>
    <row r="275" spans="1:5" s="174" customFormat="1" ht="15.75">
      <c r="A275" s="227" t="s">
        <v>40</v>
      </c>
      <c r="B275" s="228"/>
      <c r="C275" s="228"/>
      <c r="D275" s="228"/>
      <c r="E275" s="229"/>
    </row>
    <row r="276" spans="1:5" s="174" customFormat="1" ht="15.75" customHeight="1">
      <c r="A276" s="11"/>
      <c r="B276" s="171" t="s">
        <v>41</v>
      </c>
      <c r="C276" s="171" t="s">
        <v>31</v>
      </c>
      <c r="D276" s="172">
        <v>6.2155</v>
      </c>
      <c r="E276" s="11"/>
    </row>
    <row r="277" spans="1:5" s="174" customFormat="1" ht="15.75">
      <c r="A277" s="11"/>
      <c r="B277" s="171" t="s">
        <v>42</v>
      </c>
      <c r="C277" s="171" t="s">
        <v>31</v>
      </c>
      <c r="D277" s="172">
        <v>6.314</v>
      </c>
      <c r="E277" s="11"/>
    </row>
    <row r="278" spans="1:5" s="174" customFormat="1" ht="15.75">
      <c r="A278" s="11"/>
      <c r="B278" s="171" t="s">
        <v>43</v>
      </c>
      <c r="C278" s="171" t="s">
        <v>31</v>
      </c>
      <c r="D278" s="172">
        <v>17.765</v>
      </c>
      <c r="E278" s="11"/>
    </row>
    <row r="279" spans="1:5" s="174" customFormat="1" ht="15.75">
      <c r="A279" s="11"/>
      <c r="B279" s="171" t="s">
        <v>44</v>
      </c>
      <c r="C279" s="171" t="s">
        <v>45</v>
      </c>
      <c r="D279" s="172">
        <v>26.38</v>
      </c>
      <c r="E279" s="11"/>
    </row>
    <row r="280" spans="1:5" s="174" customFormat="1" ht="15.75">
      <c r="A280" s="11"/>
      <c r="B280" s="171" t="s">
        <v>46</v>
      </c>
      <c r="C280" s="171" t="s">
        <v>31</v>
      </c>
      <c r="D280" s="172">
        <v>45.5</v>
      </c>
      <c r="E280" s="11"/>
    </row>
    <row r="281" spans="1:5" s="174" customFormat="1" ht="15.75">
      <c r="A281" s="149"/>
      <c r="B281" s="149" t="s">
        <v>1407</v>
      </c>
      <c r="C281" s="149"/>
      <c r="D281" s="173">
        <f>SUM(D276:D280)</f>
        <v>102.1745</v>
      </c>
      <c r="E281" s="149"/>
    </row>
    <row r="282" spans="1:5" s="174" customFormat="1" ht="15.75">
      <c r="A282" s="227" t="s">
        <v>47</v>
      </c>
      <c r="B282" s="228"/>
      <c r="C282" s="228"/>
      <c r="D282" s="228"/>
      <c r="E282" s="229"/>
    </row>
    <row r="283" spans="1:5" s="174" customFormat="1" ht="15.75">
      <c r="A283" s="11"/>
      <c r="B283" s="171" t="s">
        <v>48</v>
      </c>
      <c r="C283" s="171" t="s">
        <v>31</v>
      </c>
      <c r="D283" s="172">
        <v>9.286</v>
      </c>
      <c r="E283" s="11"/>
    </row>
    <row r="284" spans="1:5" s="174" customFormat="1" ht="31.5">
      <c r="A284" s="11"/>
      <c r="B284" s="171" t="s">
        <v>49</v>
      </c>
      <c r="C284" s="171" t="s">
        <v>31</v>
      </c>
      <c r="D284" s="172">
        <v>18.512</v>
      </c>
      <c r="E284" s="11"/>
    </row>
    <row r="285" spans="1:5" s="174" customFormat="1" ht="15.75">
      <c r="A285" s="149"/>
      <c r="B285" s="149" t="s">
        <v>1407</v>
      </c>
      <c r="C285" s="175"/>
      <c r="D285" s="173">
        <f>SUM(D283:D284)</f>
        <v>27.798000000000002</v>
      </c>
      <c r="E285" s="149"/>
    </row>
    <row r="286" spans="1:5" s="174" customFormat="1" ht="15.75">
      <c r="A286" s="227" t="s">
        <v>50</v>
      </c>
      <c r="B286" s="228"/>
      <c r="C286" s="228"/>
      <c r="D286" s="228"/>
      <c r="E286" s="229"/>
    </row>
    <row r="287" spans="1:5" s="174" customFormat="1" ht="31.5">
      <c r="A287" s="11"/>
      <c r="B287" s="171" t="s">
        <v>51</v>
      </c>
      <c r="C287" s="171" t="s">
        <v>52</v>
      </c>
      <c r="D287" s="172">
        <v>19.8</v>
      </c>
      <c r="E287" s="11"/>
    </row>
    <row r="288" spans="1:5" s="174" customFormat="1" ht="15.75">
      <c r="A288" s="11"/>
      <c r="B288" s="171" t="s">
        <v>53</v>
      </c>
      <c r="C288" s="171" t="s">
        <v>54</v>
      </c>
      <c r="D288" s="172">
        <v>21.864</v>
      </c>
      <c r="E288" s="11"/>
    </row>
    <row r="289" spans="1:5" s="174" customFormat="1" ht="15.75">
      <c r="A289" s="11"/>
      <c r="B289" s="171" t="s">
        <v>55</v>
      </c>
      <c r="C289" s="171" t="s">
        <v>31</v>
      </c>
      <c r="D289" s="172">
        <v>38.9424</v>
      </c>
      <c r="E289" s="11"/>
    </row>
    <row r="290" spans="1:5" s="174" customFormat="1" ht="15.75">
      <c r="A290" s="11"/>
      <c r="B290" s="171" t="s">
        <v>56</v>
      </c>
      <c r="C290" s="171" t="s">
        <v>31</v>
      </c>
      <c r="D290" s="172">
        <v>12.7959</v>
      </c>
      <c r="E290" s="11"/>
    </row>
    <row r="291" spans="1:5" s="174" customFormat="1" ht="15.75">
      <c r="A291" s="11"/>
      <c r="B291" s="171" t="s">
        <v>57</v>
      </c>
      <c r="C291" s="171" t="s">
        <v>31</v>
      </c>
      <c r="D291" s="172">
        <v>8.0619</v>
      </c>
      <c r="E291" s="11"/>
    </row>
    <row r="292" spans="1:5" s="174" customFormat="1" ht="15.75">
      <c r="A292" s="149"/>
      <c r="B292" s="149" t="s">
        <v>1407</v>
      </c>
      <c r="C292" s="149"/>
      <c r="D292" s="173">
        <f>SUM(D287:D291)</f>
        <v>101.4642</v>
      </c>
      <c r="E292" s="149"/>
    </row>
    <row r="293" spans="1:5" s="174" customFormat="1" ht="15.75">
      <c r="A293" s="166"/>
      <c r="B293" s="167" t="s">
        <v>58</v>
      </c>
      <c r="C293" s="167"/>
      <c r="D293" s="176">
        <f>D268+D274+D281+D285+D292</f>
        <v>631.9917</v>
      </c>
      <c r="E293" s="168"/>
    </row>
    <row r="294" spans="1:5" s="174" customFormat="1" ht="15.75">
      <c r="A294" s="227" t="s">
        <v>59</v>
      </c>
      <c r="B294" s="228"/>
      <c r="C294" s="228"/>
      <c r="D294" s="228"/>
      <c r="E294" s="229"/>
    </row>
    <row r="295" spans="1:5" s="174" customFormat="1" ht="15.75">
      <c r="A295" s="227" t="s">
        <v>5</v>
      </c>
      <c r="B295" s="228"/>
      <c r="C295" s="228"/>
      <c r="D295" s="228"/>
      <c r="E295" s="229"/>
    </row>
    <row r="296" spans="1:5" s="174" customFormat="1" ht="15.75">
      <c r="A296" s="11"/>
      <c r="B296" s="171" t="s">
        <v>60</v>
      </c>
      <c r="C296" s="171" t="s">
        <v>61</v>
      </c>
      <c r="D296" s="172">
        <v>89.64</v>
      </c>
      <c r="E296" s="11"/>
    </row>
    <row r="297" spans="1:5" s="174" customFormat="1" ht="15.75">
      <c r="A297" s="11"/>
      <c r="B297" s="171" t="s">
        <v>62</v>
      </c>
      <c r="C297" s="171" t="s">
        <v>61</v>
      </c>
      <c r="D297" s="172">
        <v>61.4</v>
      </c>
      <c r="E297" s="11"/>
    </row>
    <row r="298" spans="1:5" s="174" customFormat="1" ht="15.75">
      <c r="A298" s="11"/>
      <c r="B298" s="171" t="s">
        <v>63</v>
      </c>
      <c r="C298" s="171" t="s">
        <v>61</v>
      </c>
      <c r="D298" s="172">
        <v>6.52696</v>
      </c>
      <c r="E298" s="11"/>
    </row>
    <row r="299" spans="1:5" s="174" customFormat="1" ht="15.75">
      <c r="A299" s="11"/>
      <c r="B299" s="171" t="s">
        <v>64</v>
      </c>
      <c r="C299" s="171" t="s">
        <v>61</v>
      </c>
      <c r="D299" s="172">
        <v>14.656</v>
      </c>
      <c r="E299" s="11"/>
    </row>
    <row r="300" spans="1:5" s="174" customFormat="1" ht="15.75">
      <c r="A300" s="11"/>
      <c r="B300" s="171" t="s">
        <v>65</v>
      </c>
      <c r="C300" s="171" t="s">
        <v>61</v>
      </c>
      <c r="D300" s="172">
        <v>12.07293</v>
      </c>
      <c r="E300" s="11"/>
    </row>
    <row r="301" spans="1:5" s="174" customFormat="1" ht="15.75">
      <c r="A301" s="11"/>
      <c r="B301" s="171" t="s">
        <v>66</v>
      </c>
      <c r="C301" s="171" t="s">
        <v>61</v>
      </c>
      <c r="D301" s="172">
        <v>19.6702</v>
      </c>
      <c r="E301" s="11"/>
    </row>
    <row r="302" spans="1:5" s="174" customFormat="1" ht="15.75">
      <c r="A302" s="11"/>
      <c r="B302" s="171" t="s">
        <v>67</v>
      </c>
      <c r="C302" s="171" t="s">
        <v>61</v>
      </c>
      <c r="D302" s="172">
        <v>33.12</v>
      </c>
      <c r="E302" s="11"/>
    </row>
    <row r="303" spans="1:5" s="174" customFormat="1" ht="15.75">
      <c r="A303" s="11"/>
      <c r="B303" s="171" t="s">
        <v>68</v>
      </c>
      <c r="C303" s="171" t="s">
        <v>61</v>
      </c>
      <c r="D303" s="172">
        <v>14.613</v>
      </c>
      <c r="E303" s="11"/>
    </row>
    <row r="304" spans="1:5" s="174" customFormat="1" ht="15.75">
      <c r="A304" s="11"/>
      <c r="B304" s="171" t="s">
        <v>69</v>
      </c>
      <c r="C304" s="171" t="s">
        <v>61</v>
      </c>
      <c r="D304" s="172">
        <v>13.882</v>
      </c>
      <c r="E304" s="11"/>
    </row>
    <row r="305" spans="1:5" s="174" customFormat="1" ht="15.75">
      <c r="A305" s="11"/>
      <c r="B305" s="171" t="s">
        <v>70</v>
      </c>
      <c r="C305" s="171" t="s">
        <v>61</v>
      </c>
      <c r="D305" s="172">
        <v>12.424</v>
      </c>
      <c r="E305" s="11"/>
    </row>
    <row r="306" spans="1:5" s="174" customFormat="1" ht="15.75">
      <c r="A306" s="11"/>
      <c r="B306" s="171" t="s">
        <v>71</v>
      </c>
      <c r="C306" s="171" t="s">
        <v>61</v>
      </c>
      <c r="D306" s="172">
        <v>39.4886</v>
      </c>
      <c r="E306" s="11"/>
    </row>
    <row r="307" spans="1:5" s="174" customFormat="1" ht="15.75">
      <c r="A307" s="11"/>
      <c r="B307" s="171" t="s">
        <v>72</v>
      </c>
      <c r="C307" s="171" t="s">
        <v>61</v>
      </c>
      <c r="D307" s="172">
        <v>32.974</v>
      </c>
      <c r="E307" s="11"/>
    </row>
    <row r="308" spans="1:5" s="174" customFormat="1" ht="15.75">
      <c r="A308" s="11"/>
      <c r="B308" s="171" t="s">
        <v>73</v>
      </c>
      <c r="C308" s="171" t="s">
        <v>61</v>
      </c>
      <c r="D308" s="172">
        <v>35.496</v>
      </c>
      <c r="E308" s="11"/>
    </row>
    <row r="309" spans="1:5" s="174" customFormat="1" ht="15.75">
      <c r="A309" s="11"/>
      <c r="B309" s="171" t="s">
        <v>74</v>
      </c>
      <c r="C309" s="171" t="s">
        <v>61</v>
      </c>
      <c r="D309" s="172">
        <v>24.227</v>
      </c>
      <c r="E309" s="11"/>
    </row>
    <row r="310" spans="1:5" s="174" customFormat="1" ht="15.75">
      <c r="A310" s="11"/>
      <c r="B310" s="171" t="s">
        <v>75</v>
      </c>
      <c r="C310" s="171" t="s">
        <v>61</v>
      </c>
      <c r="D310" s="172">
        <v>31.449</v>
      </c>
      <c r="E310" s="11"/>
    </row>
    <row r="311" spans="1:5" s="174" customFormat="1" ht="15.75">
      <c r="A311" s="11"/>
      <c r="B311" s="171" t="s">
        <v>76</v>
      </c>
      <c r="C311" s="171" t="s">
        <v>61</v>
      </c>
      <c r="D311" s="172">
        <v>21.708</v>
      </c>
      <c r="E311" s="11"/>
    </row>
    <row r="312" spans="1:5" s="174" customFormat="1" ht="15.75">
      <c r="A312" s="11"/>
      <c r="B312" s="171" t="s">
        <v>77</v>
      </c>
      <c r="C312" s="171" t="s">
        <v>61</v>
      </c>
      <c r="D312" s="172">
        <v>22.48</v>
      </c>
      <c r="E312" s="11"/>
    </row>
    <row r="313" spans="1:5" s="174" customFormat="1" ht="15.75">
      <c r="A313" s="11"/>
      <c r="B313" s="171" t="s">
        <v>78</v>
      </c>
      <c r="C313" s="171" t="s">
        <v>31</v>
      </c>
      <c r="D313" s="172">
        <v>9.29501</v>
      </c>
      <c r="E313" s="11"/>
    </row>
    <row r="314" spans="1:5" s="174" customFormat="1" ht="15.75">
      <c r="A314" s="102"/>
      <c r="B314" s="177" t="s">
        <v>79</v>
      </c>
      <c r="C314" s="177" t="s">
        <v>31</v>
      </c>
      <c r="D314" s="178">
        <v>26.33598</v>
      </c>
      <c r="E314" s="102"/>
    </row>
    <row r="315" spans="1:5" s="174" customFormat="1" ht="15.75">
      <c r="A315" s="102"/>
      <c r="B315" s="177" t="s">
        <v>80</v>
      </c>
      <c r="C315" s="177" t="s">
        <v>31</v>
      </c>
      <c r="D315" s="178">
        <v>25.6422</v>
      </c>
      <c r="E315" s="102"/>
    </row>
    <row r="316" spans="1:5" s="174" customFormat="1" ht="15.75">
      <c r="A316" s="102"/>
      <c r="B316" s="177" t="s">
        <v>16</v>
      </c>
      <c r="C316" s="177" t="s">
        <v>17</v>
      </c>
      <c r="D316" s="178">
        <v>18.76632</v>
      </c>
      <c r="E316" s="102"/>
    </row>
    <row r="317" spans="1:5" s="174" customFormat="1" ht="15.75">
      <c r="A317" s="149"/>
      <c r="B317" s="149" t="s">
        <v>1407</v>
      </c>
      <c r="C317" s="149"/>
      <c r="D317" s="173">
        <f>SUM(D296:D316)</f>
        <v>565.8671999999999</v>
      </c>
      <c r="E317" s="149"/>
    </row>
    <row r="318" spans="1:5" s="174" customFormat="1" ht="15.75">
      <c r="A318" s="227" t="s">
        <v>81</v>
      </c>
      <c r="B318" s="228"/>
      <c r="C318" s="228"/>
      <c r="D318" s="228"/>
      <c r="E318" s="229"/>
    </row>
    <row r="319" spans="1:5" s="174" customFormat="1" ht="15.75">
      <c r="A319" s="102"/>
      <c r="B319" s="102" t="s">
        <v>82</v>
      </c>
      <c r="C319" s="102" t="s">
        <v>83</v>
      </c>
      <c r="D319" s="178">
        <v>18</v>
      </c>
      <c r="E319" s="102"/>
    </row>
    <row r="320" spans="1:5" s="174" customFormat="1" ht="15.75">
      <c r="A320" s="102"/>
      <c r="B320" s="102" t="s">
        <v>84</v>
      </c>
      <c r="C320" s="102" t="s">
        <v>85</v>
      </c>
      <c r="D320" s="178">
        <v>39.025</v>
      </c>
      <c r="E320" s="102"/>
    </row>
    <row r="321" spans="1:5" s="174" customFormat="1" ht="15.75">
      <c r="A321" s="102"/>
      <c r="B321" s="102" t="s">
        <v>86</v>
      </c>
      <c r="C321" s="102" t="s">
        <v>85</v>
      </c>
      <c r="D321" s="178">
        <v>31.456</v>
      </c>
      <c r="E321" s="102"/>
    </row>
    <row r="322" spans="1:5" s="174" customFormat="1" ht="15.75">
      <c r="A322" s="102"/>
      <c r="B322" s="102" t="s">
        <v>87</v>
      </c>
      <c r="C322" s="102" t="s">
        <v>23</v>
      </c>
      <c r="D322" s="178">
        <v>38.245</v>
      </c>
      <c r="E322" s="102"/>
    </row>
    <row r="323" spans="1:5" s="174" customFormat="1" ht="15.75">
      <c r="A323" s="102"/>
      <c r="B323" s="102" t="s">
        <v>88</v>
      </c>
      <c r="C323" s="102" t="s">
        <v>89</v>
      </c>
      <c r="D323" s="178">
        <v>37.74</v>
      </c>
      <c r="E323" s="102"/>
    </row>
    <row r="324" spans="1:5" s="174" customFormat="1" ht="15.75">
      <c r="A324" s="102"/>
      <c r="B324" s="102" t="s">
        <v>90</v>
      </c>
      <c r="C324" s="102" t="s">
        <v>89</v>
      </c>
      <c r="D324" s="178">
        <v>14.878</v>
      </c>
      <c r="E324" s="102"/>
    </row>
    <row r="325" spans="1:5" s="174" customFormat="1" ht="15.75">
      <c r="A325" s="102"/>
      <c r="B325" s="102" t="s">
        <v>91</v>
      </c>
      <c r="C325" s="102" t="s">
        <v>89</v>
      </c>
      <c r="D325" s="178">
        <v>14.282</v>
      </c>
      <c r="E325" s="102"/>
    </row>
    <row r="326" spans="1:5" s="174" customFormat="1" ht="15.75">
      <c r="A326" s="102"/>
      <c r="B326" s="102" t="s">
        <v>92</v>
      </c>
      <c r="C326" s="102" t="s">
        <v>89</v>
      </c>
      <c r="D326" s="178">
        <v>23.3</v>
      </c>
      <c r="E326" s="102"/>
    </row>
    <row r="327" spans="1:5" s="174" customFormat="1" ht="15.75">
      <c r="A327" s="102"/>
      <c r="B327" s="102" t="s">
        <v>93</v>
      </c>
      <c r="C327" s="102" t="s">
        <v>17</v>
      </c>
      <c r="D327" s="178">
        <v>28.14948</v>
      </c>
      <c r="E327" s="102"/>
    </row>
    <row r="328" spans="1:5" s="174" customFormat="1" ht="15.75">
      <c r="A328" s="102"/>
      <c r="B328" s="102" t="s">
        <v>94</v>
      </c>
      <c r="C328" s="102" t="s">
        <v>52</v>
      </c>
      <c r="D328" s="178">
        <v>32.1882</v>
      </c>
      <c r="E328" s="102"/>
    </row>
    <row r="329" spans="1:5" s="174" customFormat="1" ht="15.75">
      <c r="A329" s="102"/>
      <c r="B329" s="102" t="s">
        <v>95</v>
      </c>
      <c r="C329" s="102" t="s">
        <v>52</v>
      </c>
      <c r="D329" s="178">
        <v>10.3378</v>
      </c>
      <c r="E329" s="102"/>
    </row>
    <row r="330" spans="1:5" s="174" customFormat="1" ht="15.75">
      <c r="A330" s="102"/>
      <c r="B330" s="102" t="s">
        <v>96</v>
      </c>
      <c r="C330" s="102" t="s">
        <v>97</v>
      </c>
      <c r="D330" s="178">
        <v>13</v>
      </c>
      <c r="E330" s="102"/>
    </row>
    <row r="331" spans="1:5" s="174" customFormat="1" ht="15.75">
      <c r="A331" s="102"/>
      <c r="B331" s="102" t="s">
        <v>98</v>
      </c>
      <c r="C331" s="102" t="s">
        <v>97</v>
      </c>
      <c r="D331" s="178">
        <v>8.952</v>
      </c>
      <c r="E331" s="102"/>
    </row>
    <row r="332" spans="1:5" s="174" customFormat="1" ht="15.75">
      <c r="A332" s="149"/>
      <c r="B332" s="149" t="s">
        <v>1407</v>
      </c>
      <c r="C332" s="149"/>
      <c r="D332" s="173">
        <f>SUM(D319:D331)</f>
        <v>309.55348000000004</v>
      </c>
      <c r="E332" s="149"/>
    </row>
    <row r="333" spans="1:5" s="174" customFormat="1" ht="15.75">
      <c r="A333" s="227" t="s">
        <v>99</v>
      </c>
      <c r="B333" s="228"/>
      <c r="C333" s="228"/>
      <c r="D333" s="228"/>
      <c r="E333" s="229"/>
    </row>
    <row r="334" spans="1:5" s="174" customFormat="1" ht="31.5">
      <c r="A334" s="149"/>
      <c r="B334" s="171" t="s">
        <v>100</v>
      </c>
      <c r="C334" s="171" t="s">
        <v>101</v>
      </c>
      <c r="D334" s="172">
        <v>13.6</v>
      </c>
      <c r="E334" s="149"/>
    </row>
    <row r="335" spans="1:5" s="174" customFormat="1" ht="15.75">
      <c r="A335" s="11"/>
      <c r="B335" s="171" t="s">
        <v>102</v>
      </c>
      <c r="C335" s="171" t="s">
        <v>89</v>
      </c>
      <c r="D335" s="172">
        <v>51.116</v>
      </c>
      <c r="E335" s="11"/>
    </row>
    <row r="336" spans="1:5" s="174" customFormat="1" ht="15.75">
      <c r="A336" s="11"/>
      <c r="B336" s="171" t="s">
        <v>103</v>
      </c>
      <c r="C336" s="171" t="s">
        <v>89</v>
      </c>
      <c r="D336" s="172">
        <v>255.874</v>
      </c>
      <c r="E336" s="11"/>
    </row>
    <row r="337" spans="1:5" s="174" customFormat="1" ht="15.75">
      <c r="A337" s="11"/>
      <c r="B337" s="171" t="s">
        <v>104</v>
      </c>
      <c r="C337" s="171" t="s">
        <v>89</v>
      </c>
      <c r="D337" s="172">
        <v>37.315</v>
      </c>
      <c r="E337" s="11"/>
    </row>
    <row r="338" spans="1:5" s="174" customFormat="1" ht="31.5">
      <c r="A338" s="11"/>
      <c r="B338" s="171" t="s">
        <v>105</v>
      </c>
      <c r="C338" s="171" t="s">
        <v>17</v>
      </c>
      <c r="D338" s="172">
        <v>9.38316</v>
      </c>
      <c r="E338" s="11"/>
    </row>
    <row r="339" spans="1:5" s="174" customFormat="1" ht="31.5">
      <c r="A339" s="11"/>
      <c r="B339" s="171" t="s">
        <v>106</v>
      </c>
      <c r="C339" s="171" t="s">
        <v>17</v>
      </c>
      <c r="D339" s="172">
        <v>47.262</v>
      </c>
      <c r="E339" s="11"/>
    </row>
    <row r="340" spans="1:5" s="174" customFormat="1" ht="31.5">
      <c r="A340" s="11"/>
      <c r="B340" s="171" t="s">
        <v>107</v>
      </c>
      <c r="C340" s="171" t="s">
        <v>17</v>
      </c>
      <c r="D340" s="172">
        <v>33.75438</v>
      </c>
      <c r="E340" s="11"/>
    </row>
    <row r="341" spans="1:5" s="174" customFormat="1" ht="31.5">
      <c r="A341" s="11"/>
      <c r="B341" s="171" t="s">
        <v>80</v>
      </c>
      <c r="C341" s="171" t="s">
        <v>17</v>
      </c>
      <c r="D341" s="172">
        <v>25.6422</v>
      </c>
      <c r="E341" s="11"/>
    </row>
    <row r="342" spans="1:5" s="174" customFormat="1" ht="15.75">
      <c r="A342" s="149"/>
      <c r="B342" s="149" t="s">
        <v>1407</v>
      </c>
      <c r="C342" s="149"/>
      <c r="D342" s="173">
        <f>SUM(D334:D341)</f>
        <v>473.94674</v>
      </c>
      <c r="E342" s="149"/>
    </row>
    <row r="343" spans="1:5" s="174" customFormat="1" ht="15.75">
      <c r="A343" s="227" t="s">
        <v>2</v>
      </c>
      <c r="B343" s="228"/>
      <c r="C343" s="228"/>
      <c r="D343" s="228"/>
      <c r="E343" s="229"/>
    </row>
    <row r="344" spans="1:5" s="174" customFormat="1" ht="15.75">
      <c r="A344" s="11"/>
      <c r="B344" s="171" t="s">
        <v>108</v>
      </c>
      <c r="C344" s="171" t="s">
        <v>109</v>
      </c>
      <c r="D344" s="172">
        <v>9</v>
      </c>
      <c r="E344" s="11"/>
    </row>
    <row r="345" spans="1:5" s="174" customFormat="1" ht="31.5">
      <c r="A345" s="11"/>
      <c r="B345" s="171" t="s">
        <v>105</v>
      </c>
      <c r="C345" s="171" t="s">
        <v>17</v>
      </c>
      <c r="D345" s="172">
        <v>9.38316</v>
      </c>
      <c r="E345" s="11"/>
    </row>
    <row r="346" spans="1:5" s="174" customFormat="1" ht="15.75">
      <c r="A346" s="11"/>
      <c r="B346" s="171" t="s">
        <v>110</v>
      </c>
      <c r="C346" s="171" t="s">
        <v>31</v>
      </c>
      <c r="D346" s="172">
        <v>54.086</v>
      </c>
      <c r="E346" s="11"/>
    </row>
    <row r="347" spans="1:5" s="174" customFormat="1" ht="15.75">
      <c r="A347" s="11"/>
      <c r="B347" s="171" t="s">
        <v>111</v>
      </c>
      <c r="C347" s="171" t="s">
        <v>31</v>
      </c>
      <c r="D347" s="172">
        <v>51.89268</v>
      </c>
      <c r="E347" s="11"/>
    </row>
    <row r="348" spans="1:5" s="174" customFormat="1" ht="15.75">
      <c r="A348" s="11"/>
      <c r="B348" s="171" t="s">
        <v>112</v>
      </c>
      <c r="C348" s="171" t="s">
        <v>13</v>
      </c>
      <c r="D348" s="172">
        <v>20.824</v>
      </c>
      <c r="E348" s="11"/>
    </row>
    <row r="349" spans="1:5" s="174" customFormat="1" ht="15.75">
      <c r="A349" s="11"/>
      <c r="B349" s="171" t="s">
        <v>113</v>
      </c>
      <c r="C349" s="171" t="s">
        <v>13</v>
      </c>
      <c r="D349" s="172">
        <v>6.216</v>
      </c>
      <c r="E349" s="11"/>
    </row>
    <row r="350" spans="1:5" s="174" customFormat="1" ht="15.75">
      <c r="A350" s="149"/>
      <c r="B350" s="149" t="s">
        <v>1407</v>
      </c>
      <c r="C350" s="175"/>
      <c r="D350" s="173">
        <f>SUM(D344:D349)</f>
        <v>151.40184000000002</v>
      </c>
      <c r="E350" s="149"/>
    </row>
    <row r="351" spans="1:5" s="174" customFormat="1" ht="15.75">
      <c r="A351" s="227" t="s">
        <v>114</v>
      </c>
      <c r="B351" s="228"/>
      <c r="C351" s="228"/>
      <c r="D351" s="228"/>
      <c r="E351" s="229"/>
    </row>
    <row r="352" spans="1:5" s="174" customFormat="1" ht="15.75">
      <c r="A352" s="11"/>
      <c r="B352" s="171" t="s">
        <v>115</v>
      </c>
      <c r="C352" s="171" t="s">
        <v>116</v>
      </c>
      <c r="D352" s="172">
        <v>29.38</v>
      </c>
      <c r="E352" s="11"/>
    </row>
    <row r="353" spans="1:5" s="174" customFormat="1" ht="15.75">
      <c r="A353" s="11"/>
      <c r="B353" s="171" t="s">
        <v>117</v>
      </c>
      <c r="C353" s="171" t="s">
        <v>118</v>
      </c>
      <c r="D353" s="172">
        <v>9</v>
      </c>
      <c r="E353" s="11"/>
    </row>
    <row r="354" spans="1:5" s="174" customFormat="1" ht="31.5">
      <c r="A354" s="11"/>
      <c r="B354" s="171" t="s">
        <v>119</v>
      </c>
      <c r="C354" s="171" t="s">
        <v>89</v>
      </c>
      <c r="D354" s="172">
        <v>8.26</v>
      </c>
      <c r="E354" s="11"/>
    </row>
    <row r="355" spans="1:5" s="174" customFormat="1" ht="15.75">
      <c r="A355" s="11"/>
      <c r="B355" s="171" t="s">
        <v>120</v>
      </c>
      <c r="C355" s="171" t="s">
        <v>89</v>
      </c>
      <c r="D355" s="172">
        <v>12.14</v>
      </c>
      <c r="E355" s="11"/>
    </row>
    <row r="356" spans="1:5" s="174" customFormat="1" ht="15.75">
      <c r="A356" s="11"/>
      <c r="B356" s="171" t="s">
        <v>121</v>
      </c>
      <c r="C356" s="171" t="s">
        <v>89</v>
      </c>
      <c r="D356" s="172">
        <v>44.94</v>
      </c>
      <c r="E356" s="11"/>
    </row>
    <row r="357" spans="1:5" s="174" customFormat="1" ht="15.75">
      <c r="A357" s="149"/>
      <c r="B357" s="149" t="s">
        <v>1407</v>
      </c>
      <c r="C357" s="175"/>
      <c r="D357" s="173">
        <f>SUM(D352:D356)</f>
        <v>103.72</v>
      </c>
      <c r="E357" s="149"/>
    </row>
    <row r="358" spans="1:5" s="174" customFormat="1" ht="15.75">
      <c r="A358" s="227" t="s">
        <v>122</v>
      </c>
      <c r="B358" s="228"/>
      <c r="C358" s="228"/>
      <c r="D358" s="228"/>
      <c r="E358" s="229"/>
    </row>
    <row r="359" spans="1:5" s="174" customFormat="1" ht="15.75">
      <c r="A359" s="11"/>
      <c r="B359" s="171" t="s">
        <v>123</v>
      </c>
      <c r="C359" s="171" t="s">
        <v>89</v>
      </c>
      <c r="D359" s="172">
        <v>24.28</v>
      </c>
      <c r="E359" s="11"/>
    </row>
    <row r="360" spans="1:5" s="174" customFormat="1" ht="15.75">
      <c r="A360" s="11"/>
      <c r="B360" s="171" t="s">
        <v>124</v>
      </c>
      <c r="C360" s="171" t="s">
        <v>31</v>
      </c>
      <c r="D360" s="172">
        <v>21.894</v>
      </c>
      <c r="E360" s="11"/>
    </row>
    <row r="361" spans="1:5" s="174" customFormat="1" ht="15.75">
      <c r="A361" s="11"/>
      <c r="B361" s="171" t="s">
        <v>125</v>
      </c>
      <c r="C361" s="171" t="s">
        <v>31</v>
      </c>
      <c r="D361" s="172">
        <v>7.774</v>
      </c>
      <c r="E361" s="11"/>
    </row>
    <row r="362" spans="1:5" s="174" customFormat="1" ht="15.75">
      <c r="A362" s="11"/>
      <c r="B362" s="171" t="s">
        <v>126</v>
      </c>
      <c r="C362" s="171" t="s">
        <v>31</v>
      </c>
      <c r="D362" s="172">
        <v>30.7</v>
      </c>
      <c r="E362" s="11"/>
    </row>
    <row r="363" spans="1:5" s="174" customFormat="1" ht="15.75">
      <c r="A363" s="11"/>
      <c r="B363" s="171" t="s">
        <v>127</v>
      </c>
      <c r="C363" s="171" t="s">
        <v>85</v>
      </c>
      <c r="D363" s="172">
        <v>14</v>
      </c>
      <c r="E363" s="11"/>
    </row>
    <row r="364" spans="1:5" s="174" customFormat="1" ht="15.75">
      <c r="A364" s="149"/>
      <c r="B364" s="149" t="s">
        <v>1407</v>
      </c>
      <c r="C364" s="175"/>
      <c r="D364" s="173">
        <f>SUM(D359:D363)</f>
        <v>98.648</v>
      </c>
      <c r="E364" s="149"/>
    </row>
    <row r="365" spans="1:5" s="174" customFormat="1" ht="15.75">
      <c r="A365" s="227" t="s">
        <v>128</v>
      </c>
      <c r="B365" s="228"/>
      <c r="C365" s="228"/>
      <c r="D365" s="228"/>
      <c r="E365" s="229"/>
    </row>
    <row r="366" spans="1:5" s="174" customFormat="1" ht="15.75">
      <c r="A366" s="11"/>
      <c r="B366" s="171" t="s">
        <v>129</v>
      </c>
      <c r="C366" s="171" t="s">
        <v>116</v>
      </c>
      <c r="D366" s="172">
        <v>32.495</v>
      </c>
      <c r="E366" s="11"/>
    </row>
    <row r="367" spans="1:5" s="174" customFormat="1" ht="15.75">
      <c r="A367" s="11"/>
      <c r="B367" s="171" t="s">
        <v>130</v>
      </c>
      <c r="C367" s="171" t="s">
        <v>131</v>
      </c>
      <c r="D367" s="172">
        <v>30.48</v>
      </c>
      <c r="E367" s="11"/>
    </row>
    <row r="368" spans="1:5" s="174" customFormat="1" ht="15.75">
      <c r="A368" s="11"/>
      <c r="B368" s="171" t="s">
        <v>132</v>
      </c>
      <c r="C368" s="171" t="s">
        <v>133</v>
      </c>
      <c r="D368" s="172">
        <v>34.678</v>
      </c>
      <c r="E368" s="11"/>
    </row>
    <row r="369" spans="1:5" s="174" customFormat="1" ht="15.75">
      <c r="A369" s="11"/>
      <c r="B369" s="171" t="s">
        <v>134</v>
      </c>
      <c r="C369" s="171" t="s">
        <v>133</v>
      </c>
      <c r="D369" s="172">
        <v>14.925</v>
      </c>
      <c r="E369" s="11"/>
    </row>
    <row r="370" spans="1:5" s="174" customFormat="1" ht="31.5">
      <c r="A370" s="11"/>
      <c r="B370" s="171" t="s">
        <v>135</v>
      </c>
      <c r="C370" s="171" t="s">
        <v>17</v>
      </c>
      <c r="D370" s="172">
        <v>9.38316</v>
      </c>
      <c r="E370" s="11"/>
    </row>
    <row r="371" spans="1:5" s="174" customFormat="1" ht="15.75">
      <c r="A371" s="11"/>
      <c r="B371" s="171" t="s">
        <v>136</v>
      </c>
      <c r="C371" s="171" t="s">
        <v>31</v>
      </c>
      <c r="D371" s="172">
        <v>42.05578</v>
      </c>
      <c r="E371" s="11"/>
    </row>
    <row r="372" spans="1:5" s="174" customFormat="1" ht="15.75">
      <c r="A372" s="11"/>
      <c r="B372" s="171" t="s">
        <v>137</v>
      </c>
      <c r="C372" s="171" t="s">
        <v>31</v>
      </c>
      <c r="D372" s="172">
        <v>22.21498</v>
      </c>
      <c r="E372" s="11"/>
    </row>
    <row r="373" spans="1:5" s="174" customFormat="1" ht="15.75">
      <c r="A373" s="11"/>
      <c r="B373" s="171" t="s">
        <v>138</v>
      </c>
      <c r="C373" s="171" t="s">
        <v>139</v>
      </c>
      <c r="D373" s="172">
        <v>34.4862</v>
      </c>
      <c r="E373" s="11"/>
    </row>
    <row r="374" spans="1:5" s="174" customFormat="1" ht="15.75">
      <c r="A374" s="11"/>
      <c r="B374" s="171" t="s">
        <v>140</v>
      </c>
      <c r="C374" s="171" t="s">
        <v>13</v>
      </c>
      <c r="D374" s="172">
        <v>20.824</v>
      </c>
      <c r="E374" s="11"/>
    </row>
    <row r="375" spans="1:5" s="174" customFormat="1" ht="15.75">
      <c r="A375" s="11"/>
      <c r="B375" s="171" t="s">
        <v>141</v>
      </c>
      <c r="C375" s="171" t="s">
        <v>13</v>
      </c>
      <c r="D375" s="172">
        <v>6.216</v>
      </c>
      <c r="E375" s="11"/>
    </row>
    <row r="376" spans="1:5" s="174" customFormat="1" ht="15.75">
      <c r="A376" s="11"/>
      <c r="B376" s="171" t="s">
        <v>142</v>
      </c>
      <c r="C376" s="171" t="s">
        <v>143</v>
      </c>
      <c r="D376" s="172">
        <v>7.205</v>
      </c>
      <c r="E376" s="11"/>
    </row>
    <row r="377" spans="1:5" s="174" customFormat="1" ht="15.75">
      <c r="A377" s="11"/>
      <c r="B377" s="171" t="s">
        <v>144</v>
      </c>
      <c r="C377" s="171" t="s">
        <v>143</v>
      </c>
      <c r="D377" s="172">
        <v>7.295</v>
      </c>
      <c r="E377" s="11"/>
    </row>
    <row r="378" spans="1:5" s="174" customFormat="1" ht="15.75">
      <c r="A378" s="149"/>
      <c r="B378" s="149" t="s">
        <v>1407</v>
      </c>
      <c r="C378" s="149"/>
      <c r="D378" s="173">
        <f>SUM(D366:D377)</f>
        <v>262.25812</v>
      </c>
      <c r="E378" s="149"/>
    </row>
    <row r="379" spans="1:5" s="174" customFormat="1" ht="15.75">
      <c r="A379" s="227" t="s">
        <v>145</v>
      </c>
      <c r="B379" s="228"/>
      <c r="C379" s="228"/>
      <c r="D379" s="228"/>
      <c r="E379" s="229"/>
    </row>
    <row r="380" spans="1:5" s="174" customFormat="1" ht="15.75">
      <c r="A380" s="11"/>
      <c r="B380" s="171" t="s">
        <v>146</v>
      </c>
      <c r="C380" s="171" t="s">
        <v>54</v>
      </c>
      <c r="D380" s="172">
        <v>9</v>
      </c>
      <c r="E380" s="11"/>
    </row>
    <row r="381" spans="1:5" s="174" customFormat="1" ht="31.5">
      <c r="A381" s="11"/>
      <c r="B381" s="171" t="s">
        <v>135</v>
      </c>
      <c r="C381" s="171" t="s">
        <v>17</v>
      </c>
      <c r="D381" s="172">
        <v>9.38316</v>
      </c>
      <c r="E381" s="11"/>
    </row>
    <row r="382" spans="1:5" s="174" customFormat="1" ht="15.75">
      <c r="A382" s="11"/>
      <c r="B382" s="171" t="s">
        <v>147</v>
      </c>
      <c r="C382" s="171" t="s">
        <v>31</v>
      </c>
      <c r="D382" s="172">
        <v>85</v>
      </c>
      <c r="E382" s="11"/>
    </row>
    <row r="383" spans="1:5" s="174" customFormat="1" ht="15.75">
      <c r="A383" s="11"/>
      <c r="B383" s="171" t="s">
        <v>148</v>
      </c>
      <c r="C383" s="171" t="s">
        <v>149</v>
      </c>
      <c r="D383" s="172">
        <v>22.8</v>
      </c>
      <c r="E383" s="11"/>
    </row>
    <row r="384" spans="1:5" s="174" customFormat="1" ht="15.75">
      <c r="A384" s="11"/>
      <c r="B384" s="171" t="s">
        <v>150</v>
      </c>
      <c r="C384" s="171" t="s">
        <v>31</v>
      </c>
      <c r="D384" s="172">
        <v>13.16799</v>
      </c>
      <c r="E384" s="11"/>
    </row>
    <row r="385" spans="1:5" s="174" customFormat="1" ht="15.75">
      <c r="A385" s="11"/>
      <c r="B385" s="171" t="s">
        <v>151</v>
      </c>
      <c r="C385" s="171" t="s">
        <v>31</v>
      </c>
      <c r="D385" s="172">
        <v>11.31287</v>
      </c>
      <c r="E385" s="11"/>
    </row>
    <row r="386" spans="1:5" s="174" customFormat="1" ht="15.75">
      <c r="A386" s="149"/>
      <c r="B386" s="149" t="s">
        <v>1407</v>
      </c>
      <c r="C386" s="149"/>
      <c r="D386" s="173">
        <f>SUM(D380:D385)</f>
        <v>150.66402</v>
      </c>
      <c r="E386" s="149"/>
    </row>
    <row r="387" spans="1:5" s="174" customFormat="1" ht="15.75">
      <c r="A387" s="227" t="s">
        <v>152</v>
      </c>
      <c r="B387" s="228"/>
      <c r="C387" s="228"/>
      <c r="D387" s="228"/>
      <c r="E387" s="229"/>
    </row>
    <row r="388" spans="1:5" s="174" customFormat="1" ht="31.5">
      <c r="A388" s="11"/>
      <c r="B388" s="171" t="s">
        <v>135</v>
      </c>
      <c r="C388" s="171" t="s">
        <v>17</v>
      </c>
      <c r="D388" s="172">
        <v>9.38316</v>
      </c>
      <c r="E388" s="11"/>
    </row>
    <row r="389" spans="1:5" s="174" customFormat="1" ht="15.75">
      <c r="A389" s="11"/>
      <c r="B389" s="171" t="s">
        <v>153</v>
      </c>
      <c r="C389" s="171" t="s">
        <v>31</v>
      </c>
      <c r="D389" s="172">
        <v>24.227</v>
      </c>
      <c r="E389" s="11"/>
    </row>
    <row r="390" spans="1:5" s="174" customFormat="1" ht="15.75">
      <c r="A390" s="11"/>
      <c r="B390" s="171" t="s">
        <v>154</v>
      </c>
      <c r="C390" s="171" t="s">
        <v>31</v>
      </c>
      <c r="D390" s="172">
        <v>47.915</v>
      </c>
      <c r="E390" s="11"/>
    </row>
    <row r="391" spans="1:5" s="174" customFormat="1" ht="15.75">
      <c r="A391" s="149"/>
      <c r="B391" s="149" t="s">
        <v>1407</v>
      </c>
      <c r="C391" s="149"/>
      <c r="D391" s="173">
        <f>SUM(D388:D390)</f>
        <v>81.52516</v>
      </c>
      <c r="E391" s="149"/>
    </row>
    <row r="392" spans="1:5" s="174" customFormat="1" ht="34.5" customHeight="1">
      <c r="A392" s="227" t="s">
        <v>155</v>
      </c>
      <c r="B392" s="228"/>
      <c r="C392" s="228"/>
      <c r="D392" s="228"/>
      <c r="E392" s="229"/>
    </row>
    <row r="393" spans="1:5" s="174" customFormat="1" ht="15.75">
      <c r="A393" s="11"/>
      <c r="B393" s="171" t="s">
        <v>156</v>
      </c>
      <c r="C393" s="171" t="s">
        <v>85</v>
      </c>
      <c r="D393" s="172">
        <v>22.92</v>
      </c>
      <c r="E393" s="11"/>
    </row>
    <row r="394" spans="1:5" s="174" customFormat="1" ht="15.75">
      <c r="A394" s="11"/>
      <c r="B394" s="171" t="s">
        <v>157</v>
      </c>
      <c r="C394" s="171" t="s">
        <v>139</v>
      </c>
      <c r="D394" s="172">
        <v>22.9908</v>
      </c>
      <c r="E394" s="11"/>
    </row>
    <row r="395" spans="1:5" s="174" customFormat="1" ht="15.75">
      <c r="A395" s="11"/>
      <c r="B395" s="171" t="s">
        <v>158</v>
      </c>
      <c r="C395" s="171" t="s">
        <v>31</v>
      </c>
      <c r="D395" s="172">
        <v>9.295</v>
      </c>
      <c r="E395" s="11"/>
    </row>
    <row r="396" spans="1:5" s="174" customFormat="1" ht="15.75">
      <c r="A396" s="11"/>
      <c r="B396" s="171" t="s">
        <v>159</v>
      </c>
      <c r="C396" s="171" t="s">
        <v>31</v>
      </c>
      <c r="D396" s="172">
        <v>26.4672</v>
      </c>
      <c r="E396" s="11"/>
    </row>
    <row r="397" spans="1:5" s="174" customFormat="1" ht="15.75">
      <c r="A397" s="102"/>
      <c r="B397" s="102" t="s">
        <v>160</v>
      </c>
      <c r="C397" s="102" t="s">
        <v>161</v>
      </c>
      <c r="D397" s="178">
        <v>42.555</v>
      </c>
      <c r="E397" s="102"/>
    </row>
    <row r="398" spans="1:5" s="174" customFormat="1" ht="15.75">
      <c r="A398" s="102"/>
      <c r="B398" s="102" t="s">
        <v>162</v>
      </c>
      <c r="C398" s="102" t="s">
        <v>163</v>
      </c>
      <c r="D398" s="178">
        <v>38.65</v>
      </c>
      <c r="E398" s="102"/>
    </row>
    <row r="399" spans="1:5" s="174" customFormat="1" ht="15.75">
      <c r="A399" s="102"/>
      <c r="B399" s="102" t="s">
        <v>164</v>
      </c>
      <c r="C399" s="102" t="s">
        <v>163</v>
      </c>
      <c r="D399" s="178">
        <v>32.15</v>
      </c>
      <c r="E399" s="102"/>
    </row>
    <row r="400" spans="1:5" s="174" customFormat="1" ht="15.75">
      <c r="A400" s="102"/>
      <c r="B400" s="102" t="s">
        <v>165</v>
      </c>
      <c r="C400" s="102" t="s">
        <v>163</v>
      </c>
      <c r="D400" s="178">
        <v>7.4</v>
      </c>
      <c r="E400" s="102"/>
    </row>
    <row r="401" spans="1:5" s="174" customFormat="1" ht="15.75">
      <c r="A401" s="149"/>
      <c r="B401" s="149" t="s">
        <v>1407</v>
      </c>
      <c r="C401" s="149"/>
      <c r="D401" s="173">
        <f>SUM(D393:D400)</f>
        <v>202.42800000000003</v>
      </c>
      <c r="E401" s="149"/>
    </row>
    <row r="402" spans="1:5" s="174" customFormat="1" ht="15.75">
      <c r="A402" s="166"/>
      <c r="B402" s="167" t="s">
        <v>166</v>
      </c>
      <c r="C402" s="167"/>
      <c r="D402" s="176">
        <f>D317+D332+D342+D350+D357+D364++D378+D386+D391+D401</f>
        <v>2400.01256</v>
      </c>
      <c r="E402" s="168"/>
    </row>
    <row r="403" spans="1:5" s="174" customFormat="1" ht="15.75">
      <c r="A403" s="227" t="s">
        <v>167</v>
      </c>
      <c r="B403" s="228"/>
      <c r="C403" s="228"/>
      <c r="D403" s="228"/>
      <c r="E403" s="229"/>
    </row>
    <row r="404" spans="1:5" s="174" customFormat="1" ht="15.75">
      <c r="A404" s="227" t="s">
        <v>168</v>
      </c>
      <c r="B404" s="228"/>
      <c r="C404" s="228"/>
      <c r="D404" s="228"/>
      <c r="E404" s="229"/>
    </row>
    <row r="405" spans="1:5" s="174" customFormat="1" ht="15.75">
      <c r="A405" s="11"/>
      <c r="B405" s="171" t="s">
        <v>169</v>
      </c>
      <c r="C405" s="171" t="s">
        <v>116</v>
      </c>
      <c r="D405" s="172">
        <v>19.486</v>
      </c>
      <c r="E405" s="11"/>
    </row>
    <row r="406" spans="1:5" s="174" customFormat="1" ht="15.75">
      <c r="A406" s="11"/>
      <c r="B406" s="171" t="s">
        <v>170</v>
      </c>
      <c r="C406" s="177" t="s">
        <v>116</v>
      </c>
      <c r="D406" s="172">
        <v>6.917</v>
      </c>
      <c r="E406" s="11"/>
    </row>
    <row r="407" spans="1:5" s="174" customFormat="1" ht="15.75">
      <c r="A407" s="11"/>
      <c r="B407" s="171" t="s">
        <v>171</v>
      </c>
      <c r="C407" s="171" t="s">
        <v>116</v>
      </c>
      <c r="D407" s="172">
        <v>6.8</v>
      </c>
      <c r="E407" s="11"/>
    </row>
    <row r="408" spans="1:5" s="174" customFormat="1" ht="15.75">
      <c r="A408" s="11"/>
      <c r="B408" s="171" t="s">
        <v>172</v>
      </c>
      <c r="C408" s="171" t="s">
        <v>173</v>
      </c>
      <c r="D408" s="172">
        <v>40</v>
      </c>
      <c r="E408" s="11"/>
    </row>
    <row r="409" spans="1:5" s="174" customFormat="1" ht="15.75">
      <c r="A409" s="11"/>
      <c r="B409" s="171" t="s">
        <v>174</v>
      </c>
      <c r="C409" s="171" t="s">
        <v>173</v>
      </c>
      <c r="D409" s="172">
        <v>51.2</v>
      </c>
      <c r="E409" s="11"/>
    </row>
    <row r="410" spans="1:5" s="174" customFormat="1" ht="15.75">
      <c r="A410" s="11"/>
      <c r="B410" s="171" t="s">
        <v>175</v>
      </c>
      <c r="C410" s="171" t="s">
        <v>173</v>
      </c>
      <c r="D410" s="172">
        <v>13.6</v>
      </c>
      <c r="E410" s="11"/>
    </row>
    <row r="411" spans="1:5" s="174" customFormat="1" ht="15.75">
      <c r="A411" s="11"/>
      <c r="B411" s="171" t="s">
        <v>176</v>
      </c>
      <c r="C411" s="171" t="s">
        <v>89</v>
      </c>
      <c r="D411" s="172">
        <v>10.959</v>
      </c>
      <c r="E411" s="11"/>
    </row>
    <row r="412" spans="1:5" s="174" customFormat="1" ht="15.75">
      <c r="A412" s="11"/>
      <c r="B412" s="171" t="s">
        <v>177</v>
      </c>
      <c r="C412" s="171" t="s">
        <v>89</v>
      </c>
      <c r="D412" s="172">
        <v>6.85</v>
      </c>
      <c r="E412" s="11"/>
    </row>
    <row r="413" spans="1:5" s="174" customFormat="1" ht="15.75">
      <c r="A413" s="11"/>
      <c r="B413" s="171" t="s">
        <v>178</v>
      </c>
      <c r="C413" s="171" t="s">
        <v>179</v>
      </c>
      <c r="D413" s="172">
        <v>12.8</v>
      </c>
      <c r="E413" s="11"/>
    </row>
    <row r="414" spans="1:5" s="174" customFormat="1" ht="15.75">
      <c r="A414" s="11"/>
      <c r="B414" s="171" t="s">
        <v>180</v>
      </c>
      <c r="C414" s="171" t="s">
        <v>89</v>
      </c>
      <c r="D414" s="172">
        <v>28.9</v>
      </c>
      <c r="E414" s="11"/>
    </row>
    <row r="415" spans="1:5" s="174" customFormat="1" ht="31.5">
      <c r="A415" s="11"/>
      <c r="B415" s="171" t="s">
        <v>181</v>
      </c>
      <c r="C415" s="171" t="s">
        <v>17</v>
      </c>
      <c r="D415" s="172">
        <v>56.29896</v>
      </c>
      <c r="E415" s="11"/>
    </row>
    <row r="416" spans="1:5" s="174" customFormat="1" ht="15.75">
      <c r="A416" s="11"/>
      <c r="B416" s="171" t="s">
        <v>182</v>
      </c>
      <c r="C416" s="171" t="s">
        <v>19</v>
      </c>
      <c r="D416" s="172">
        <v>6.4</v>
      </c>
      <c r="E416" s="11"/>
    </row>
    <row r="417" spans="1:5" s="174" customFormat="1" ht="15.75">
      <c r="A417" s="11"/>
      <c r="B417" s="171" t="s">
        <v>183</v>
      </c>
      <c r="C417" s="171" t="s">
        <v>184</v>
      </c>
      <c r="D417" s="172">
        <v>13.494</v>
      </c>
      <c r="E417" s="11"/>
    </row>
    <row r="418" spans="1:5" s="174" customFormat="1" ht="15.75">
      <c r="A418" s="149"/>
      <c r="B418" s="149" t="s">
        <v>1407</v>
      </c>
      <c r="C418" s="175"/>
      <c r="D418" s="173">
        <f>SUM(D405:D417)</f>
        <v>273.70496</v>
      </c>
      <c r="E418" s="149"/>
    </row>
    <row r="419" spans="1:5" s="174" customFormat="1" ht="15.75">
      <c r="A419" s="227" t="s">
        <v>185</v>
      </c>
      <c r="B419" s="228"/>
      <c r="C419" s="228"/>
      <c r="D419" s="228"/>
      <c r="E419" s="229"/>
    </row>
    <row r="420" spans="1:5" s="174" customFormat="1" ht="15.75">
      <c r="A420" s="11"/>
      <c r="B420" s="171" t="s">
        <v>186</v>
      </c>
      <c r="C420" s="171" t="s">
        <v>31</v>
      </c>
      <c r="D420" s="172">
        <v>32.73</v>
      </c>
      <c r="E420" s="11"/>
    </row>
    <row r="421" spans="1:5" s="174" customFormat="1" ht="15.75">
      <c r="A421" s="11"/>
      <c r="B421" s="171" t="s">
        <v>187</v>
      </c>
      <c r="C421" s="171" t="s">
        <v>31</v>
      </c>
      <c r="D421" s="172">
        <v>16.202</v>
      </c>
      <c r="E421" s="11"/>
    </row>
    <row r="422" spans="1:5" s="174" customFormat="1" ht="15.75">
      <c r="A422" s="149"/>
      <c r="B422" s="149" t="s">
        <v>1407</v>
      </c>
      <c r="C422" s="149"/>
      <c r="D422" s="173">
        <f>SUM(D420:D421)</f>
        <v>48.932</v>
      </c>
      <c r="E422" s="149"/>
    </row>
    <row r="423" spans="1:5" s="174" customFormat="1" ht="15.75">
      <c r="A423" s="227" t="s">
        <v>188</v>
      </c>
      <c r="B423" s="228"/>
      <c r="C423" s="228"/>
      <c r="D423" s="228"/>
      <c r="E423" s="229"/>
    </row>
    <row r="424" spans="1:5" s="174" customFormat="1" ht="15.75">
      <c r="A424" s="11"/>
      <c r="B424" s="171" t="s">
        <v>189</v>
      </c>
      <c r="C424" s="171" t="s">
        <v>778</v>
      </c>
      <c r="D424" s="172">
        <v>6.011</v>
      </c>
      <c r="E424" s="11"/>
    </row>
    <row r="425" spans="1:5" s="174" customFormat="1" ht="15.75">
      <c r="A425" s="11"/>
      <c r="B425" s="171" t="s">
        <v>190</v>
      </c>
      <c r="C425" s="171" t="s">
        <v>85</v>
      </c>
      <c r="D425" s="172">
        <v>41.1</v>
      </c>
      <c r="E425" s="11"/>
    </row>
    <row r="426" spans="1:5" s="174" customFormat="1" ht="15.75">
      <c r="A426" s="11"/>
      <c r="B426" s="171" t="s">
        <v>191</v>
      </c>
      <c r="C426" s="171" t="s">
        <v>85</v>
      </c>
      <c r="D426" s="172">
        <v>6.85</v>
      </c>
      <c r="E426" s="11"/>
    </row>
    <row r="427" spans="1:5" s="174" customFormat="1" ht="15.75">
      <c r="A427" s="11"/>
      <c r="B427" s="171" t="s">
        <v>182</v>
      </c>
      <c r="C427" s="171" t="s">
        <v>19</v>
      </c>
      <c r="D427" s="172">
        <v>6.4</v>
      </c>
      <c r="E427" s="11"/>
    </row>
    <row r="428" spans="1:5" s="174" customFormat="1" ht="15.75">
      <c r="A428" s="149"/>
      <c r="B428" s="149" t="s">
        <v>1407</v>
      </c>
      <c r="C428" s="175"/>
      <c r="D428" s="173">
        <f>SUM(D424:D427)</f>
        <v>60.361000000000004</v>
      </c>
      <c r="E428" s="149"/>
    </row>
    <row r="429" spans="1:5" s="174" customFormat="1" ht="15.75">
      <c r="A429" s="227" t="s">
        <v>192</v>
      </c>
      <c r="B429" s="228"/>
      <c r="C429" s="228"/>
      <c r="D429" s="228"/>
      <c r="E429" s="229"/>
    </row>
    <row r="430" spans="1:5" s="174" customFormat="1" ht="31.5">
      <c r="A430" s="11"/>
      <c r="B430" s="171" t="s">
        <v>193</v>
      </c>
      <c r="C430" s="171" t="s">
        <v>194</v>
      </c>
      <c r="D430" s="172">
        <v>6.15</v>
      </c>
      <c r="E430" s="11"/>
    </row>
    <row r="431" spans="1:5" s="174" customFormat="1" ht="15.75">
      <c r="A431" s="11"/>
      <c r="B431" s="171" t="s">
        <v>195</v>
      </c>
      <c r="C431" s="171" t="s">
        <v>196</v>
      </c>
      <c r="D431" s="172">
        <v>49.5</v>
      </c>
      <c r="E431" s="11"/>
    </row>
    <row r="432" spans="1:5" s="174" customFormat="1" ht="15.75">
      <c r="A432" s="149"/>
      <c r="B432" s="149" t="s">
        <v>1407</v>
      </c>
      <c r="C432" s="149"/>
      <c r="D432" s="173">
        <f>SUM(D430:D431)</f>
        <v>55.65</v>
      </c>
      <c r="E432" s="149"/>
    </row>
    <row r="433" spans="1:5" s="174" customFormat="1" ht="15.75">
      <c r="A433" s="227" t="s">
        <v>197</v>
      </c>
      <c r="B433" s="228"/>
      <c r="C433" s="228"/>
      <c r="D433" s="228"/>
      <c r="E433" s="229"/>
    </row>
    <row r="434" spans="1:5" s="174" customFormat="1" ht="15.75">
      <c r="A434" s="102"/>
      <c r="B434" s="102" t="s">
        <v>198</v>
      </c>
      <c r="C434" s="102" t="s">
        <v>199</v>
      </c>
      <c r="D434" s="178">
        <v>6.24</v>
      </c>
      <c r="E434" s="102"/>
    </row>
    <row r="435" spans="1:5" s="174" customFormat="1" ht="15.75">
      <c r="A435" s="149"/>
      <c r="B435" s="149" t="s">
        <v>1407</v>
      </c>
      <c r="C435" s="149"/>
      <c r="D435" s="173">
        <f>SUM(D434:D434)</f>
        <v>6.24</v>
      </c>
      <c r="E435" s="149"/>
    </row>
    <row r="436" spans="1:5" s="174" customFormat="1" ht="15.75">
      <c r="A436" s="166"/>
      <c r="B436" s="167" t="s">
        <v>200</v>
      </c>
      <c r="C436" s="167"/>
      <c r="D436" s="176">
        <f>D418+D422+D428+D432+D435</f>
        <v>444.88796</v>
      </c>
      <c r="E436" s="168"/>
    </row>
    <row r="437" s="174" customFormat="1" ht="12.75"/>
    <row r="438" s="174" customFormat="1" ht="12.75"/>
    <row r="439" s="174" customFormat="1" ht="12.75"/>
    <row r="440" s="174" customFormat="1" ht="12.75"/>
    <row r="441" s="174" customFormat="1" ht="12.75"/>
    <row r="442" s="174" customFormat="1" ht="12.75"/>
    <row r="443" s="174" customFormat="1" ht="12.75"/>
    <row r="444" s="174" customFormat="1" ht="12.75"/>
    <row r="445" s="174" customFormat="1" ht="12.75"/>
    <row r="446" s="174" customFormat="1" ht="12.75"/>
    <row r="447" s="174" customFormat="1" ht="12.75"/>
    <row r="448" s="174" customFormat="1" ht="12.75"/>
    <row r="449" s="174" customFormat="1" ht="12.75"/>
    <row r="450" s="174" customFormat="1" ht="12.75"/>
    <row r="451" s="174" customFormat="1" ht="12.75"/>
    <row r="452" s="174" customFormat="1" ht="12.75"/>
    <row r="453" s="174" customFormat="1" ht="12.75"/>
    <row r="454" s="174" customFormat="1" ht="12.75"/>
    <row r="455" s="174" customFormat="1" ht="12.75"/>
    <row r="456" s="174" customFormat="1" ht="12.75"/>
    <row r="457" s="174" customFormat="1" ht="12.75"/>
    <row r="458" s="174" customFormat="1" ht="12.75"/>
    <row r="459" s="174" customFormat="1" ht="12.75"/>
    <row r="460" s="174" customFormat="1" ht="12.75"/>
    <row r="461" s="174" customFormat="1" ht="12.75"/>
    <row r="462" s="174" customFormat="1" ht="12.75"/>
  </sheetData>
  <sheetProtection/>
  <mergeCells count="71">
    <mergeCell ref="A433:E433"/>
    <mergeCell ref="A246:E246"/>
    <mergeCell ref="A247:E247"/>
    <mergeCell ref="A255:E255"/>
    <mergeCell ref="A256:E256"/>
    <mergeCell ref="A269:E269"/>
    <mergeCell ref="A275:E275"/>
    <mergeCell ref="A282:E282"/>
    <mergeCell ref="A286:E286"/>
    <mergeCell ref="A294:E294"/>
    <mergeCell ref="A404:E404"/>
    <mergeCell ref="A419:E419"/>
    <mergeCell ref="A423:E423"/>
    <mergeCell ref="A429:E429"/>
    <mergeCell ref="A379:E379"/>
    <mergeCell ref="A387:E387"/>
    <mergeCell ref="A392:E392"/>
    <mergeCell ref="A403:E403"/>
    <mergeCell ref="A343:E343"/>
    <mergeCell ref="A351:E351"/>
    <mergeCell ref="A358:E358"/>
    <mergeCell ref="A365:E365"/>
    <mergeCell ref="A295:E295"/>
    <mergeCell ref="A318:E318"/>
    <mergeCell ref="A333:E333"/>
    <mergeCell ref="C204:C211"/>
    <mergeCell ref="C212:C219"/>
    <mergeCell ref="C238:C241"/>
    <mergeCell ref="B232:E232"/>
    <mergeCell ref="B234:E234"/>
    <mergeCell ref="B221:E221"/>
    <mergeCell ref="B61:F61"/>
    <mergeCell ref="B66:F66"/>
    <mergeCell ref="B72:F72"/>
    <mergeCell ref="B75:F75"/>
    <mergeCell ref="C171:C179"/>
    <mergeCell ref="C169:C170"/>
    <mergeCell ref="C167:C168"/>
    <mergeCell ref="C192:C203"/>
    <mergeCell ref="B128:E128"/>
    <mergeCell ref="C139:C146"/>
    <mergeCell ref="C151:C153"/>
    <mergeCell ref="C154:C155"/>
    <mergeCell ref="C149:C150"/>
    <mergeCell ref="C133:C135"/>
    <mergeCell ref="A156:E156"/>
    <mergeCell ref="F157:F159"/>
    <mergeCell ref="F160:F161"/>
    <mergeCell ref="F162:F166"/>
    <mergeCell ref="C157:C161"/>
    <mergeCell ref="C162:C166"/>
    <mergeCell ref="A1:F1"/>
    <mergeCell ref="A79:F79"/>
    <mergeCell ref="F15:F17"/>
    <mergeCell ref="B14:F14"/>
    <mergeCell ref="B5:F5"/>
    <mergeCell ref="B44:F44"/>
    <mergeCell ref="B50:F50"/>
    <mergeCell ref="B59:F59"/>
    <mergeCell ref="B32:F32"/>
    <mergeCell ref="B38:F38"/>
    <mergeCell ref="B26:F26"/>
    <mergeCell ref="B83:F83"/>
    <mergeCell ref="B190:F190"/>
    <mergeCell ref="B137:F137"/>
    <mergeCell ref="B148:F148"/>
    <mergeCell ref="B98:F98"/>
    <mergeCell ref="C129:C132"/>
    <mergeCell ref="F169:F170"/>
    <mergeCell ref="F171:F178"/>
    <mergeCell ref="B181:F181"/>
  </mergeCells>
  <hyperlinks>
    <hyperlink ref="B27" r:id="rId1" display="https://www.dzo.com.ua/tenders/271663"/>
    <hyperlink ref="C27" r:id="rId2" display="https://www.dzo.com.ua/tenders/271663/bid/cfcd208495d565ef66e7dff9f98764da/info"/>
    <hyperlink ref="B28" r:id="rId3" display="https://www.dzo.com.ua/tenders/429036"/>
    <hyperlink ref="C28" r:id="rId4" display="https://www.dzo.com.ua/tenders/429036/bid/cfcd208495d565ef66e7dff9f98764da/info"/>
    <hyperlink ref="B30" r:id="rId5" display="https://www.dzo.com.ua/tenders/578573"/>
    <hyperlink ref="B29" r:id="rId6" display="https://www.dzo.com.ua/tenders/578573"/>
  </hyperlink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84" r:id="rId7"/>
  <rowBreaks count="2" manualBreakCount="2">
    <brk id="22" max="5" man="1"/>
    <brk id="7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07"/>
  <sheetViews>
    <sheetView tabSelected="1" view="pageBreakPreview" zoomScale="60" zoomScaleNormal="75" workbookViewId="0" topLeftCell="A754">
      <selection activeCell="F803" sqref="F803"/>
    </sheetView>
  </sheetViews>
  <sheetFormatPr defaultColWidth="9.00390625" defaultRowHeight="12.75"/>
  <cols>
    <col min="1" max="1" width="4.375" style="3" customWidth="1"/>
    <col min="2" max="2" width="57.00390625" style="3" customWidth="1"/>
    <col min="3" max="3" width="31.75390625" style="3" customWidth="1"/>
    <col min="4" max="4" width="19.875" style="202" customWidth="1"/>
    <col min="5" max="5" width="22.375" style="3" customWidth="1"/>
    <col min="6" max="6" width="17.625" style="3" customWidth="1"/>
    <col min="7" max="16384" width="9.125" style="3" customWidth="1"/>
  </cols>
  <sheetData>
    <row r="1" spans="1:15" ht="39.75" customHeight="1">
      <c r="A1" s="241" t="s">
        <v>731</v>
      </c>
      <c r="B1" s="241"/>
      <c r="C1" s="241"/>
      <c r="D1" s="241"/>
      <c r="E1" s="241"/>
      <c r="F1" s="13"/>
      <c r="G1" s="241"/>
      <c r="H1" s="241"/>
      <c r="I1" s="241"/>
      <c r="J1" s="241"/>
      <c r="K1" s="241"/>
      <c r="L1" s="13"/>
      <c r="M1" s="13"/>
      <c r="N1" s="13"/>
      <c r="O1" s="4"/>
    </row>
    <row r="2" spans="5:15" ht="17.25" customHeight="1">
      <c r="E2" s="6" t="s">
        <v>1486</v>
      </c>
      <c r="G2" s="8"/>
      <c r="H2" s="8"/>
      <c r="I2" s="8"/>
      <c r="J2" s="8"/>
      <c r="K2" s="8"/>
      <c r="L2" s="4"/>
      <c r="M2" s="4"/>
      <c r="N2" s="4"/>
      <c r="O2" s="4"/>
    </row>
    <row r="3" spans="1:15" ht="67.5" customHeight="1">
      <c r="A3" s="9" t="s">
        <v>734</v>
      </c>
      <c r="B3" s="9" t="s">
        <v>723</v>
      </c>
      <c r="C3" s="9" t="s">
        <v>722</v>
      </c>
      <c r="D3" s="9" t="s">
        <v>725</v>
      </c>
      <c r="E3" s="11" t="s">
        <v>726</v>
      </c>
      <c r="G3" s="42"/>
      <c r="H3" s="42"/>
      <c r="I3" s="42"/>
      <c r="J3" s="42"/>
      <c r="K3" s="43"/>
      <c r="L3" s="4"/>
      <c r="M3" s="4"/>
      <c r="N3" s="4"/>
      <c r="O3" s="4"/>
    </row>
    <row r="4" spans="1:15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2"/>
      <c r="G4" s="2"/>
      <c r="H4" s="2"/>
      <c r="I4" s="2"/>
      <c r="J4" s="2"/>
      <c r="K4" s="2"/>
      <c r="L4" s="4"/>
      <c r="M4" s="4"/>
      <c r="N4" s="4"/>
      <c r="O4" s="4"/>
    </row>
    <row r="5" spans="1:15" ht="18.75">
      <c r="A5" s="1"/>
      <c r="B5" s="241" t="s">
        <v>627</v>
      </c>
      <c r="C5" s="241"/>
      <c r="D5" s="241"/>
      <c r="E5" s="241"/>
      <c r="F5" s="241"/>
      <c r="G5" s="2"/>
      <c r="H5" s="2"/>
      <c r="I5" s="2"/>
      <c r="J5" s="2"/>
      <c r="K5" s="2"/>
      <c r="L5" s="4"/>
      <c r="M5" s="4"/>
      <c r="N5" s="4"/>
      <c r="O5" s="4"/>
    </row>
    <row r="6" spans="1:15" s="28" customFormat="1" ht="31.5">
      <c r="A6" s="9"/>
      <c r="B6" s="20" t="s">
        <v>647</v>
      </c>
      <c r="C6" s="264" t="s">
        <v>648</v>
      </c>
      <c r="D6" s="130">
        <v>48.8</v>
      </c>
      <c r="E6" s="9"/>
      <c r="F6" s="42"/>
      <c r="G6" s="42"/>
      <c r="H6" s="42"/>
      <c r="I6" s="42"/>
      <c r="J6" s="42"/>
      <c r="K6" s="42"/>
      <c r="L6" s="35"/>
      <c r="M6" s="35"/>
      <c r="N6" s="35"/>
      <c r="O6" s="35"/>
    </row>
    <row r="7" spans="1:15" s="28" customFormat="1" ht="31.5">
      <c r="A7" s="9"/>
      <c r="B7" s="20" t="s">
        <v>649</v>
      </c>
      <c r="C7" s="265"/>
      <c r="D7" s="130">
        <v>198</v>
      </c>
      <c r="E7" s="9"/>
      <c r="F7" s="42"/>
      <c r="G7" s="42"/>
      <c r="H7" s="42"/>
      <c r="I7" s="42"/>
      <c r="J7" s="42"/>
      <c r="K7" s="42"/>
      <c r="L7" s="35"/>
      <c r="M7" s="35"/>
      <c r="N7" s="35"/>
      <c r="O7" s="35"/>
    </row>
    <row r="8" spans="1:15" s="28" customFormat="1" ht="31.5">
      <c r="A8" s="9"/>
      <c r="B8" s="20" t="s">
        <v>650</v>
      </c>
      <c r="C8" s="265"/>
      <c r="D8" s="130">
        <v>61.5</v>
      </c>
      <c r="E8" s="9"/>
      <c r="F8" s="42"/>
      <c r="G8" s="42"/>
      <c r="H8" s="42"/>
      <c r="I8" s="42"/>
      <c r="J8" s="42"/>
      <c r="K8" s="42"/>
      <c r="L8" s="35"/>
      <c r="M8" s="35"/>
      <c r="N8" s="35"/>
      <c r="O8" s="35"/>
    </row>
    <row r="9" spans="1:15" s="28" customFormat="1" ht="31.5">
      <c r="A9" s="9"/>
      <c r="B9" s="20" t="s">
        <v>651</v>
      </c>
      <c r="C9" s="265"/>
      <c r="D9" s="130">
        <v>192</v>
      </c>
      <c r="E9" s="9"/>
      <c r="F9" s="42"/>
      <c r="G9" s="42"/>
      <c r="H9" s="42"/>
      <c r="I9" s="42"/>
      <c r="J9" s="42"/>
      <c r="K9" s="42"/>
      <c r="L9" s="35"/>
      <c r="M9" s="35"/>
      <c r="N9" s="35"/>
      <c r="O9" s="35"/>
    </row>
    <row r="10" spans="1:15" s="28" customFormat="1" ht="31.5">
      <c r="A10" s="9"/>
      <c r="B10" s="20" t="s">
        <v>652</v>
      </c>
      <c r="C10" s="265"/>
      <c r="D10" s="130">
        <v>7</v>
      </c>
      <c r="E10" s="9"/>
      <c r="F10" s="42"/>
      <c r="G10" s="42"/>
      <c r="H10" s="42"/>
      <c r="I10" s="42"/>
      <c r="J10" s="42"/>
      <c r="K10" s="42"/>
      <c r="L10" s="35"/>
      <c r="M10" s="35"/>
      <c r="N10" s="35"/>
      <c r="O10" s="35"/>
    </row>
    <row r="11" spans="1:15" s="28" customFormat="1" ht="47.25">
      <c r="A11" s="9"/>
      <c r="B11" s="20" t="s">
        <v>683</v>
      </c>
      <c r="C11" s="266"/>
      <c r="D11" s="130">
        <v>146.5</v>
      </c>
      <c r="E11" s="9"/>
      <c r="F11" s="42"/>
      <c r="G11" s="42"/>
      <c r="H11" s="42"/>
      <c r="I11" s="42"/>
      <c r="J11" s="42"/>
      <c r="K11" s="42"/>
      <c r="L11" s="35"/>
      <c r="M11" s="35"/>
      <c r="N11" s="35"/>
      <c r="O11" s="35"/>
    </row>
    <row r="12" spans="1:15" ht="18.75">
      <c r="A12" s="1"/>
      <c r="B12" s="241" t="s">
        <v>753</v>
      </c>
      <c r="C12" s="241"/>
      <c r="D12" s="241"/>
      <c r="E12" s="241"/>
      <c r="F12" s="241"/>
      <c r="G12" s="2"/>
      <c r="H12" s="2"/>
      <c r="I12" s="2"/>
      <c r="J12" s="2"/>
      <c r="K12" s="2"/>
      <c r="L12" s="4"/>
      <c r="M12" s="4"/>
      <c r="N12" s="4"/>
      <c r="O12" s="4"/>
    </row>
    <row r="13" spans="1:15" ht="15.75">
      <c r="A13" s="12"/>
      <c r="B13" s="31" t="s">
        <v>789</v>
      </c>
      <c r="C13" s="89" t="s">
        <v>790</v>
      </c>
      <c r="D13" s="27">
        <v>1.091</v>
      </c>
      <c r="E13" s="12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31.5">
      <c r="A14" s="12"/>
      <c r="B14" s="33" t="s">
        <v>791</v>
      </c>
      <c r="C14" s="17" t="s">
        <v>792</v>
      </c>
      <c r="D14" s="26">
        <v>43.29</v>
      </c>
      <c r="E14" s="12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20.25" customHeight="1">
      <c r="B15" s="33" t="s">
        <v>793</v>
      </c>
      <c r="C15" s="17" t="s">
        <v>794</v>
      </c>
      <c r="D15" s="26">
        <v>128.478</v>
      </c>
      <c r="E15" s="12"/>
      <c r="G15" s="4"/>
      <c r="H15" s="4"/>
      <c r="I15" s="4"/>
      <c r="J15" s="4"/>
      <c r="K15" s="4"/>
      <c r="L15" s="4"/>
      <c r="M15" s="4"/>
      <c r="N15" s="4"/>
      <c r="O15" s="4"/>
    </row>
    <row r="16" spans="2:6" ht="18.75" customHeight="1">
      <c r="B16" s="33" t="s">
        <v>795</v>
      </c>
      <c r="C16" s="17" t="s">
        <v>796</v>
      </c>
      <c r="D16" s="26">
        <v>93.506</v>
      </c>
      <c r="E16" s="12"/>
      <c r="F16" s="13"/>
    </row>
    <row r="17" spans="2:6" ht="20.25" customHeight="1">
      <c r="B17" s="34" t="s">
        <v>797</v>
      </c>
      <c r="C17" s="17" t="s">
        <v>798</v>
      </c>
      <c r="D17" s="26">
        <v>0.483</v>
      </c>
      <c r="E17" s="12"/>
      <c r="F17" s="8"/>
    </row>
    <row r="18" spans="2:5" ht="41.25" customHeight="1">
      <c r="B18" s="33" t="s">
        <v>799</v>
      </c>
      <c r="C18" s="17" t="s">
        <v>750</v>
      </c>
      <c r="D18" s="26">
        <v>18.523</v>
      </c>
      <c r="E18" s="12"/>
    </row>
    <row r="19" spans="2:6" ht="15.75">
      <c r="B19" s="34" t="s">
        <v>800</v>
      </c>
      <c r="C19" s="17" t="s">
        <v>801</v>
      </c>
      <c r="D19" s="26">
        <v>1.9</v>
      </c>
      <c r="E19" s="12"/>
      <c r="F19" s="2"/>
    </row>
    <row r="20" spans="2:6" ht="15.75">
      <c r="B20" s="33" t="s">
        <v>802</v>
      </c>
      <c r="C20" s="17" t="s">
        <v>794</v>
      </c>
      <c r="D20" s="26">
        <v>174.664</v>
      </c>
      <c r="E20" s="12"/>
      <c r="F20" s="4"/>
    </row>
    <row r="21" spans="2:6" ht="15.75">
      <c r="B21" s="33" t="s">
        <v>803</v>
      </c>
      <c r="C21" s="17" t="s">
        <v>794</v>
      </c>
      <c r="D21" s="26">
        <v>198</v>
      </c>
      <c r="E21" s="12"/>
      <c r="F21" s="4"/>
    </row>
    <row r="22" spans="2:5" ht="18" customHeight="1">
      <c r="B22" s="33" t="s">
        <v>804</v>
      </c>
      <c r="C22" s="17" t="s">
        <v>794</v>
      </c>
      <c r="D22" s="26">
        <v>15.544</v>
      </c>
      <c r="E22" s="12"/>
    </row>
    <row r="23" spans="2:11" ht="18.75" customHeight="1">
      <c r="B23" s="34" t="s">
        <v>682</v>
      </c>
      <c r="C23" s="17" t="s">
        <v>805</v>
      </c>
      <c r="D23" s="26">
        <v>4.058</v>
      </c>
      <c r="E23" s="12"/>
      <c r="F23" s="15"/>
      <c r="G23" s="14"/>
      <c r="H23" s="67"/>
      <c r="I23" s="67"/>
      <c r="J23" s="67"/>
      <c r="K23" s="67"/>
    </row>
    <row r="24" spans="2:11" ht="15.75" customHeight="1">
      <c r="B24" s="33" t="s">
        <v>806</v>
      </c>
      <c r="C24" s="17" t="s">
        <v>807</v>
      </c>
      <c r="D24" s="26">
        <v>49.984</v>
      </c>
      <c r="E24" s="12"/>
      <c r="G24" s="14"/>
      <c r="H24" s="67"/>
      <c r="I24" s="67"/>
      <c r="J24" s="67"/>
      <c r="K24" s="67"/>
    </row>
    <row r="25" spans="2:11" ht="31.5">
      <c r="B25" s="34" t="s">
        <v>808</v>
      </c>
      <c r="C25" s="17" t="s">
        <v>801</v>
      </c>
      <c r="D25" s="26">
        <v>7.988</v>
      </c>
      <c r="E25" s="12"/>
      <c r="G25" s="14"/>
      <c r="H25" s="67"/>
      <c r="I25" s="67"/>
      <c r="J25" s="67"/>
      <c r="K25" s="67"/>
    </row>
    <row r="26" spans="2:6" ht="15.75" customHeight="1">
      <c r="B26" s="34" t="s">
        <v>809</v>
      </c>
      <c r="C26" s="17" t="s">
        <v>810</v>
      </c>
      <c r="D26" s="26">
        <v>3.938</v>
      </c>
      <c r="E26" s="12"/>
      <c r="F26" s="2"/>
    </row>
    <row r="27" spans="2:6" ht="22.5" customHeight="1">
      <c r="B27" s="34" t="s">
        <v>811</v>
      </c>
      <c r="C27" s="17" t="s">
        <v>810</v>
      </c>
      <c r="D27" s="26">
        <v>11.591</v>
      </c>
      <c r="E27" s="12"/>
      <c r="F27" s="4"/>
    </row>
    <row r="28" spans="2:6" ht="31.5">
      <c r="B28" s="34" t="s">
        <v>812</v>
      </c>
      <c r="C28" s="17" t="s">
        <v>813</v>
      </c>
      <c r="D28" s="26">
        <v>90.046</v>
      </c>
      <c r="E28" s="12"/>
      <c r="F28" s="4"/>
    </row>
    <row r="29" spans="2:5" ht="15.75">
      <c r="B29" s="33" t="s">
        <v>814</v>
      </c>
      <c r="C29" s="17" t="s">
        <v>807</v>
      </c>
      <c r="D29" s="26">
        <v>76.569</v>
      </c>
      <c r="E29" s="12"/>
    </row>
    <row r="30" spans="2:5" s="14" customFormat="1" ht="18.75">
      <c r="B30" s="34" t="s">
        <v>815</v>
      </c>
      <c r="C30" s="17" t="s">
        <v>807</v>
      </c>
      <c r="D30" s="26">
        <v>10.494</v>
      </c>
      <c r="E30" s="48"/>
    </row>
    <row r="31" spans="2:5" s="14" customFormat="1" ht="18.75">
      <c r="B31" s="31" t="s">
        <v>816</v>
      </c>
      <c r="C31" s="17" t="s">
        <v>810</v>
      </c>
      <c r="D31" s="26">
        <v>3.303</v>
      </c>
      <c r="E31" s="48"/>
    </row>
    <row r="32" spans="2:5" s="14" customFormat="1" ht="18.75">
      <c r="B32" s="31" t="s">
        <v>817</v>
      </c>
      <c r="C32" s="17" t="s">
        <v>810</v>
      </c>
      <c r="D32" s="26">
        <v>10.164</v>
      </c>
      <c r="E32" s="48"/>
    </row>
    <row r="33" spans="2:5" ht="15.75">
      <c r="B33" s="31" t="s">
        <v>818</v>
      </c>
      <c r="C33" s="17" t="s">
        <v>810</v>
      </c>
      <c r="D33" s="26">
        <v>11.171</v>
      </c>
      <c r="E33" s="12"/>
    </row>
    <row r="34" spans="2:5" ht="31.5">
      <c r="B34" s="31" t="s">
        <v>819</v>
      </c>
      <c r="C34" s="17" t="s">
        <v>810</v>
      </c>
      <c r="D34" s="26">
        <v>12.151</v>
      </c>
      <c r="E34" s="12"/>
    </row>
    <row r="35" spans="2:5" ht="15.75">
      <c r="B35" s="31" t="s">
        <v>820</v>
      </c>
      <c r="C35" s="17" t="s">
        <v>810</v>
      </c>
      <c r="D35" s="26">
        <v>3.04</v>
      </c>
      <c r="E35" s="12"/>
    </row>
    <row r="36" spans="2:5" ht="15.75">
      <c r="B36" s="34" t="s">
        <v>821</v>
      </c>
      <c r="C36" s="23" t="s">
        <v>805</v>
      </c>
      <c r="D36" s="29">
        <v>0.375</v>
      </c>
      <c r="E36" s="12"/>
    </row>
    <row r="37" spans="2:5" ht="16.5" customHeight="1">
      <c r="B37" s="34" t="s">
        <v>822</v>
      </c>
      <c r="C37" s="23" t="s">
        <v>823</v>
      </c>
      <c r="D37" s="29">
        <v>9.996</v>
      </c>
      <c r="E37" s="12"/>
    </row>
    <row r="38" spans="2:5" ht="15.75">
      <c r="B38" s="34" t="s">
        <v>824</v>
      </c>
      <c r="C38" s="23" t="s">
        <v>798</v>
      </c>
      <c r="D38" s="29">
        <v>2.79</v>
      </c>
      <c r="E38" s="12"/>
    </row>
    <row r="39" spans="2:5" ht="17.25" customHeight="1">
      <c r="B39" s="34" t="s">
        <v>825</v>
      </c>
      <c r="C39" s="23" t="s">
        <v>801</v>
      </c>
      <c r="D39" s="29">
        <v>4.778</v>
      </c>
      <c r="E39" s="12"/>
    </row>
    <row r="40" spans="2:5" ht="18.75" customHeight="1">
      <c r="B40" s="34" t="s">
        <v>826</v>
      </c>
      <c r="C40" s="23" t="s">
        <v>823</v>
      </c>
      <c r="D40" s="29">
        <v>8.801</v>
      </c>
      <c r="E40" s="12"/>
    </row>
    <row r="41" spans="2:5" ht="18.75" customHeight="1">
      <c r="B41" s="34" t="s">
        <v>827</v>
      </c>
      <c r="C41" s="23" t="s">
        <v>823</v>
      </c>
      <c r="D41" s="29">
        <v>7.414</v>
      </c>
      <c r="E41" s="12"/>
    </row>
    <row r="42" spans="2:5" ht="18.75">
      <c r="B42" s="250" t="s">
        <v>1024</v>
      </c>
      <c r="C42" s="250"/>
      <c r="D42" s="250"/>
      <c r="E42" s="250"/>
    </row>
    <row r="43" spans="2:5" s="28" customFormat="1" ht="48.75" customHeight="1">
      <c r="B43" s="90" t="s">
        <v>1025</v>
      </c>
      <c r="C43" s="268" t="s">
        <v>1026</v>
      </c>
      <c r="D43" s="63">
        <v>120.023</v>
      </c>
      <c r="E43" s="21"/>
    </row>
    <row r="44" spans="2:5" s="28" customFormat="1" ht="48" customHeight="1">
      <c r="B44" s="90" t="s">
        <v>1027</v>
      </c>
      <c r="C44" s="269"/>
      <c r="D44" s="63">
        <v>74.997</v>
      </c>
      <c r="E44" s="21"/>
    </row>
    <row r="45" spans="2:5" s="28" customFormat="1" ht="47.25">
      <c r="B45" s="90" t="s">
        <v>1028</v>
      </c>
      <c r="C45" s="269"/>
      <c r="D45" s="63">
        <v>46.774</v>
      </c>
      <c r="E45" s="21"/>
    </row>
    <row r="46" spans="2:5" s="28" customFormat="1" ht="47.25">
      <c r="B46" s="90" t="s">
        <v>1029</v>
      </c>
      <c r="C46" s="269"/>
      <c r="D46" s="63">
        <v>96.886</v>
      </c>
      <c r="E46" s="21"/>
    </row>
    <row r="47" spans="2:5" s="28" customFormat="1" ht="47.25">
      <c r="B47" s="90" t="s">
        <v>1030</v>
      </c>
      <c r="C47" s="270"/>
      <c r="D47" s="63">
        <v>53.988</v>
      </c>
      <c r="E47" s="21"/>
    </row>
    <row r="48" spans="2:5" s="28" customFormat="1" ht="15.75">
      <c r="B48" s="91" t="s">
        <v>1023</v>
      </c>
      <c r="C48" s="63" t="s">
        <v>1031</v>
      </c>
      <c r="D48" s="137">
        <v>392.668</v>
      </c>
      <c r="E48" s="21"/>
    </row>
    <row r="49" spans="2:6" ht="18.75">
      <c r="B49" s="240" t="s">
        <v>1075</v>
      </c>
      <c r="C49" s="240"/>
      <c r="D49" s="240"/>
      <c r="E49" s="240"/>
      <c r="F49" s="240"/>
    </row>
    <row r="50" spans="2:5" ht="45" customHeight="1">
      <c r="B50" s="20" t="s">
        <v>1094</v>
      </c>
      <c r="C50" s="72" t="s">
        <v>1079</v>
      </c>
      <c r="D50" s="86">
        <v>198</v>
      </c>
      <c r="E50" s="12"/>
    </row>
    <row r="51" spans="2:5" ht="69" customHeight="1">
      <c r="B51" s="20" t="s">
        <v>1095</v>
      </c>
      <c r="C51" s="21" t="s">
        <v>1096</v>
      </c>
      <c r="D51" s="63">
        <v>3.129</v>
      </c>
      <c r="E51" s="12"/>
    </row>
    <row r="52" spans="2:6" ht="18.75">
      <c r="B52" s="240" t="s">
        <v>1153</v>
      </c>
      <c r="C52" s="240"/>
      <c r="D52" s="240"/>
      <c r="E52" s="240"/>
      <c r="F52" s="240"/>
    </row>
    <row r="53" spans="2:5" s="28" customFormat="1" ht="47.25">
      <c r="B53" s="20" t="s">
        <v>1224</v>
      </c>
      <c r="C53" s="21" t="s">
        <v>1155</v>
      </c>
      <c r="D53" s="63">
        <v>10.246</v>
      </c>
      <c r="E53" s="20" t="s">
        <v>1156</v>
      </c>
    </row>
    <row r="54" spans="2:5" s="28" customFormat="1" ht="47.25">
      <c r="B54" s="20" t="s">
        <v>1225</v>
      </c>
      <c r="C54" s="20" t="s">
        <v>1158</v>
      </c>
      <c r="D54" s="63">
        <v>0.184</v>
      </c>
      <c r="E54" s="20" t="s">
        <v>1156</v>
      </c>
    </row>
    <row r="55" spans="2:5" s="28" customFormat="1" ht="31.5">
      <c r="B55" s="20" t="s">
        <v>1226</v>
      </c>
      <c r="C55" s="21" t="s">
        <v>1155</v>
      </c>
      <c r="D55" s="63">
        <v>106.719</v>
      </c>
      <c r="E55" s="21"/>
    </row>
    <row r="56" spans="2:5" s="28" customFormat="1" ht="47.25" customHeight="1">
      <c r="B56" s="20" t="s">
        <v>1227</v>
      </c>
      <c r="C56" s="20" t="s">
        <v>1158</v>
      </c>
      <c r="D56" s="63">
        <v>1.906</v>
      </c>
      <c r="E56" s="21"/>
    </row>
    <row r="57" spans="2:6" ht="18.75">
      <c r="B57" s="240" t="s">
        <v>1231</v>
      </c>
      <c r="C57" s="240"/>
      <c r="D57" s="240"/>
      <c r="E57" s="240"/>
      <c r="F57" s="240"/>
    </row>
    <row r="58" spans="2:5" s="28" customFormat="1" ht="22.5" customHeight="1">
      <c r="B58" s="64" t="s">
        <v>1242</v>
      </c>
      <c r="C58" s="21" t="s">
        <v>1243</v>
      </c>
      <c r="D58" s="130">
        <v>28.664</v>
      </c>
      <c r="E58" s="21"/>
    </row>
    <row r="59" spans="2:5" s="28" customFormat="1" ht="23.25" customHeight="1">
      <c r="B59" s="64" t="s">
        <v>1242</v>
      </c>
      <c r="C59" s="21" t="s">
        <v>1243</v>
      </c>
      <c r="D59" s="130">
        <v>66.226</v>
      </c>
      <c r="E59" s="21"/>
    </row>
    <row r="60" spans="2:5" s="28" customFormat="1" ht="20.25" customHeight="1">
      <c r="B60" s="64" t="s">
        <v>1244</v>
      </c>
      <c r="C60" s="21" t="s">
        <v>1245</v>
      </c>
      <c r="D60" s="130">
        <v>14.8999</v>
      </c>
      <c r="E60" s="21"/>
    </row>
    <row r="61" spans="2:6" ht="18.75">
      <c r="B61" s="240" t="s">
        <v>1290</v>
      </c>
      <c r="C61" s="240"/>
      <c r="D61" s="240"/>
      <c r="E61" s="240"/>
      <c r="F61" s="240"/>
    </row>
    <row r="62" spans="2:6" s="28" customFormat="1" ht="31.5">
      <c r="B62" s="20" t="s">
        <v>1325</v>
      </c>
      <c r="C62" s="21" t="s">
        <v>1326</v>
      </c>
      <c r="D62" s="130">
        <v>135.83532</v>
      </c>
      <c r="E62" s="75"/>
      <c r="F62" s="74"/>
    </row>
    <row r="63" spans="2:6" ht="18.75">
      <c r="B63" s="250" t="s">
        <v>1331</v>
      </c>
      <c r="C63" s="250"/>
      <c r="D63" s="250"/>
      <c r="E63" s="250"/>
      <c r="F63" s="45"/>
    </row>
    <row r="64" spans="2:6" s="28" customFormat="1" ht="47.25">
      <c r="B64" s="93" t="s">
        <v>1357</v>
      </c>
      <c r="C64" s="94" t="s">
        <v>1358</v>
      </c>
      <c r="D64" s="27">
        <v>19.464</v>
      </c>
      <c r="E64" s="75"/>
      <c r="F64" s="74"/>
    </row>
    <row r="65" spans="2:6" s="28" customFormat="1" ht="69" customHeight="1">
      <c r="B65" s="93" t="s">
        <v>1359</v>
      </c>
      <c r="C65" s="94" t="s">
        <v>1360</v>
      </c>
      <c r="D65" s="138">
        <v>9.47</v>
      </c>
      <c r="E65" s="75"/>
      <c r="F65" s="74"/>
    </row>
    <row r="66" spans="2:6" s="28" customFormat="1" ht="38.25" customHeight="1">
      <c r="B66" s="93" t="s">
        <v>1361</v>
      </c>
      <c r="C66" s="94" t="s">
        <v>1360</v>
      </c>
      <c r="D66" s="138">
        <v>6.133</v>
      </c>
      <c r="E66" s="75"/>
      <c r="F66" s="74"/>
    </row>
    <row r="67" spans="2:6" s="28" customFormat="1" ht="47.25" customHeight="1">
      <c r="B67" s="93" t="s">
        <v>1362</v>
      </c>
      <c r="C67" s="94" t="s">
        <v>1358</v>
      </c>
      <c r="D67" s="138">
        <v>27.489</v>
      </c>
      <c r="E67" s="75"/>
      <c r="F67" s="74"/>
    </row>
    <row r="68" spans="2:6" s="28" customFormat="1" ht="64.5" customHeight="1">
      <c r="B68" s="93" t="s">
        <v>1363</v>
      </c>
      <c r="C68" s="94" t="s">
        <v>1364</v>
      </c>
      <c r="D68" s="138">
        <v>6.895</v>
      </c>
      <c r="E68" s="75"/>
      <c r="F68" s="74"/>
    </row>
    <row r="69" spans="2:6" s="28" customFormat="1" ht="47.25" customHeight="1">
      <c r="B69" s="95" t="s">
        <v>1365</v>
      </c>
      <c r="C69" s="96" t="s">
        <v>1364</v>
      </c>
      <c r="D69" s="139">
        <v>6.6</v>
      </c>
      <c r="E69" s="75"/>
      <c r="F69" s="74"/>
    </row>
    <row r="70" spans="2:6" s="28" customFormat="1" ht="69.75" customHeight="1">
      <c r="B70" s="93" t="s">
        <v>1359</v>
      </c>
      <c r="C70" s="96" t="s">
        <v>1366</v>
      </c>
      <c r="D70" s="139">
        <v>17.616</v>
      </c>
      <c r="E70" s="75"/>
      <c r="F70" s="74"/>
    </row>
    <row r="71" spans="2:6" s="28" customFormat="1" ht="15.75">
      <c r="B71" s="50"/>
      <c r="C71" s="96"/>
      <c r="D71" s="63">
        <f>SUM(D64:D70)</f>
        <v>93.66699999999999</v>
      </c>
      <c r="E71" s="75"/>
      <c r="F71" s="74"/>
    </row>
    <row r="72" spans="2:6" s="28" customFormat="1" ht="15.75">
      <c r="B72" s="278" t="s">
        <v>201</v>
      </c>
      <c r="C72" s="279"/>
      <c r="D72" s="279"/>
      <c r="E72" s="280"/>
      <c r="F72" s="74"/>
    </row>
    <row r="73" spans="2:6" s="28" customFormat="1" ht="47.25">
      <c r="B73" s="159" t="s">
        <v>202</v>
      </c>
      <c r="C73" s="102" t="s">
        <v>203</v>
      </c>
      <c r="D73" s="200">
        <f>21223.26/1000</f>
        <v>21.22326</v>
      </c>
      <c r="E73" s="164"/>
      <c r="F73" s="74"/>
    </row>
    <row r="74" spans="2:6" s="28" customFormat="1" ht="15.75">
      <c r="B74" s="102" t="s">
        <v>204</v>
      </c>
      <c r="C74" s="102" t="s">
        <v>205</v>
      </c>
      <c r="D74" s="200">
        <f>378.11/1000</f>
        <v>0.37811</v>
      </c>
      <c r="E74" s="164"/>
      <c r="F74" s="74"/>
    </row>
    <row r="75" spans="2:6" s="28" customFormat="1" ht="69" customHeight="1">
      <c r="B75" s="159" t="s">
        <v>206</v>
      </c>
      <c r="C75" s="102" t="s">
        <v>207</v>
      </c>
      <c r="D75" s="200">
        <f>(14293.36+6125.72)/1000</f>
        <v>20.41908</v>
      </c>
      <c r="E75" s="164"/>
      <c r="F75" s="74"/>
    </row>
    <row r="76" spans="2:6" s="28" customFormat="1" ht="15.75">
      <c r="B76" s="179" t="s">
        <v>208</v>
      </c>
      <c r="C76" s="102"/>
      <c r="D76" s="201">
        <f>SUM(D73:D75)</f>
        <v>42.02045</v>
      </c>
      <c r="E76" s="187"/>
      <c r="F76" s="74"/>
    </row>
    <row r="77" spans="2:6" s="28" customFormat="1" ht="15.75">
      <c r="B77" s="278" t="s">
        <v>40</v>
      </c>
      <c r="C77" s="279"/>
      <c r="D77" s="279"/>
      <c r="E77" s="280"/>
      <c r="F77" s="74"/>
    </row>
    <row r="78" spans="2:6" s="28" customFormat="1" ht="47.25">
      <c r="B78" s="159" t="s">
        <v>209</v>
      </c>
      <c r="C78" s="102" t="s">
        <v>210</v>
      </c>
      <c r="D78" s="200">
        <f>(38258.72+36556.55+52713.81)/1000</f>
        <v>127.52908000000001</v>
      </c>
      <c r="E78" s="164"/>
      <c r="F78" s="74"/>
    </row>
    <row r="79" spans="2:6" s="28" customFormat="1" ht="15.75">
      <c r="B79" s="179" t="s">
        <v>208</v>
      </c>
      <c r="C79" s="102"/>
      <c r="D79" s="201">
        <f>SUM(D78:D78)</f>
        <v>127.52908000000001</v>
      </c>
      <c r="E79" s="187"/>
      <c r="F79" s="74"/>
    </row>
    <row r="80" spans="2:6" s="28" customFormat="1" ht="15.75">
      <c r="B80" s="278" t="s">
        <v>47</v>
      </c>
      <c r="C80" s="279"/>
      <c r="D80" s="279"/>
      <c r="E80" s="280"/>
      <c r="F80" s="74"/>
    </row>
    <row r="81" spans="2:6" s="28" customFormat="1" ht="15.75">
      <c r="B81" s="180" t="s">
        <v>211</v>
      </c>
      <c r="C81" s="102" t="s">
        <v>212</v>
      </c>
      <c r="D81" s="140">
        <f>29915.96/1000</f>
        <v>29.91596</v>
      </c>
      <c r="E81" s="102"/>
      <c r="F81" s="74"/>
    </row>
    <row r="82" spans="2:6" s="28" customFormat="1" ht="15.75">
      <c r="B82" s="179" t="s">
        <v>208</v>
      </c>
      <c r="C82" s="102"/>
      <c r="D82" s="201">
        <f>SUM(D81)</f>
        <v>29.91596</v>
      </c>
      <c r="E82" s="92"/>
      <c r="F82" s="74"/>
    </row>
    <row r="83" spans="2:6" s="28" customFormat="1" ht="15.75">
      <c r="B83" s="278" t="s">
        <v>50</v>
      </c>
      <c r="C83" s="279"/>
      <c r="D83" s="279"/>
      <c r="E83" s="280"/>
      <c r="F83" s="74"/>
    </row>
    <row r="84" spans="2:6" s="28" customFormat="1" ht="31.5">
      <c r="B84" s="162" t="s">
        <v>213</v>
      </c>
      <c r="C84" s="160" t="s">
        <v>214</v>
      </c>
      <c r="D84" s="140">
        <f>6950/1000</f>
        <v>6.95</v>
      </c>
      <c r="E84" s="102"/>
      <c r="F84" s="74"/>
    </row>
    <row r="85" spans="2:6" s="28" customFormat="1" ht="31.5">
      <c r="B85" s="181" t="s">
        <v>215</v>
      </c>
      <c r="C85" s="160" t="s">
        <v>216</v>
      </c>
      <c r="D85" s="140">
        <f>34943.77/1000</f>
        <v>34.943769999999994</v>
      </c>
      <c r="E85" s="102"/>
      <c r="F85" s="74"/>
    </row>
    <row r="86" spans="2:6" s="28" customFormat="1" ht="15.75">
      <c r="B86" s="179" t="s">
        <v>208</v>
      </c>
      <c r="C86" s="160"/>
      <c r="D86" s="201">
        <f>SUM(D84:D85)</f>
        <v>41.893769999999996</v>
      </c>
      <c r="E86" s="92"/>
      <c r="F86" s="74"/>
    </row>
    <row r="87" spans="2:6" s="28" customFormat="1" ht="15.75">
      <c r="B87" s="278" t="s">
        <v>217</v>
      </c>
      <c r="C87" s="279"/>
      <c r="D87" s="279"/>
      <c r="E87" s="280"/>
      <c r="F87" s="74"/>
    </row>
    <row r="88" spans="2:6" s="28" customFormat="1" ht="51.75" customHeight="1">
      <c r="B88" s="159" t="s">
        <v>218</v>
      </c>
      <c r="C88" s="102" t="s">
        <v>219</v>
      </c>
      <c r="D88" s="200">
        <f>12000/1000</f>
        <v>12</v>
      </c>
      <c r="E88" s="164"/>
      <c r="F88" s="74"/>
    </row>
    <row r="89" spans="2:6" s="28" customFormat="1" ht="15.75">
      <c r="B89" s="179" t="s">
        <v>208</v>
      </c>
      <c r="C89" s="102"/>
      <c r="D89" s="201">
        <f>SUM(D88)</f>
        <v>12</v>
      </c>
      <c r="E89" s="187"/>
      <c r="F89" s="74"/>
    </row>
    <row r="90" spans="2:6" s="28" customFormat="1" ht="15.75">
      <c r="B90" s="281" t="s">
        <v>220</v>
      </c>
      <c r="C90" s="282"/>
      <c r="D90" s="282"/>
      <c r="E90" s="283"/>
      <c r="F90" s="74"/>
    </row>
    <row r="91" spans="2:6" s="28" customFormat="1" ht="31.5">
      <c r="B91" s="181" t="s">
        <v>221</v>
      </c>
      <c r="C91" s="160" t="s">
        <v>222</v>
      </c>
      <c r="D91" s="203">
        <f>188503.82/1000</f>
        <v>188.50382000000002</v>
      </c>
      <c r="E91" s="164"/>
      <c r="F91" s="74"/>
    </row>
    <row r="92" spans="2:6" s="28" customFormat="1" ht="15.75">
      <c r="B92" s="179" t="s">
        <v>208</v>
      </c>
      <c r="C92" s="160"/>
      <c r="D92" s="204">
        <f>SUM(D91)</f>
        <v>188.50382000000002</v>
      </c>
      <c r="E92" s="164"/>
      <c r="F92" s="74"/>
    </row>
    <row r="93" spans="2:6" s="28" customFormat="1" ht="15.75">
      <c r="B93" s="284" t="s">
        <v>223</v>
      </c>
      <c r="C93" s="285"/>
      <c r="D93" s="285"/>
      <c r="E93" s="286"/>
      <c r="F93" s="74"/>
    </row>
    <row r="94" spans="2:6" s="28" customFormat="1" ht="31.5">
      <c r="B94" s="180" t="s">
        <v>224</v>
      </c>
      <c r="C94" s="160" t="s">
        <v>225</v>
      </c>
      <c r="D94" s="200">
        <f>38800/1000</f>
        <v>38.8</v>
      </c>
      <c r="E94" s="102"/>
      <c r="F94" s="74"/>
    </row>
    <row r="95" spans="2:6" s="28" customFormat="1" ht="15.75">
      <c r="B95" s="179" t="s">
        <v>208</v>
      </c>
      <c r="C95" s="102"/>
      <c r="D95" s="201">
        <f>SUM(D94)</f>
        <v>38.8</v>
      </c>
      <c r="E95" s="102"/>
      <c r="F95" s="74"/>
    </row>
    <row r="96" spans="2:6" s="28" customFormat="1" ht="15.75">
      <c r="B96" s="284" t="s">
        <v>5</v>
      </c>
      <c r="C96" s="285"/>
      <c r="D96" s="285"/>
      <c r="E96" s="286"/>
      <c r="F96" s="74"/>
    </row>
    <row r="97" spans="2:6" s="28" customFormat="1" ht="31.5">
      <c r="B97" s="159" t="s">
        <v>226</v>
      </c>
      <c r="C97" s="188" t="s">
        <v>227</v>
      </c>
      <c r="D97" s="205">
        <f>42000/1000</f>
        <v>42</v>
      </c>
      <c r="E97" s="102"/>
      <c r="F97" s="74"/>
    </row>
    <row r="98" spans="2:6" s="28" customFormat="1" ht="15.75">
      <c r="B98" s="179" t="s">
        <v>208</v>
      </c>
      <c r="C98" s="182"/>
      <c r="D98" s="206">
        <f>SUM(D97:D97)</f>
        <v>42</v>
      </c>
      <c r="E98" s="102"/>
      <c r="F98" s="74"/>
    </row>
    <row r="99" spans="2:6" s="28" customFormat="1" ht="15.75">
      <c r="B99" s="284" t="s">
        <v>99</v>
      </c>
      <c r="C99" s="285"/>
      <c r="D99" s="285"/>
      <c r="E99" s="286"/>
      <c r="F99" s="74"/>
    </row>
    <row r="100" spans="2:6" s="28" customFormat="1" ht="51" customHeight="1">
      <c r="B100" s="159" t="s">
        <v>228</v>
      </c>
      <c r="C100" s="185" t="s">
        <v>229</v>
      </c>
      <c r="D100" s="207">
        <f>80000/1000</f>
        <v>80</v>
      </c>
      <c r="E100" s="102"/>
      <c r="F100" s="74"/>
    </row>
    <row r="101" spans="2:6" s="28" customFormat="1" ht="15.75">
      <c r="B101" s="179" t="s">
        <v>208</v>
      </c>
      <c r="C101" s="182"/>
      <c r="D101" s="208">
        <f>SUM(D100:D100)</f>
        <v>80</v>
      </c>
      <c r="E101" s="102"/>
      <c r="F101" s="74"/>
    </row>
    <row r="102" spans="2:6" s="28" customFormat="1" ht="15.75">
      <c r="B102" s="284" t="s">
        <v>128</v>
      </c>
      <c r="C102" s="285"/>
      <c r="D102" s="285"/>
      <c r="E102" s="286"/>
      <c r="F102" s="74"/>
    </row>
    <row r="103" spans="2:6" s="28" customFormat="1" ht="51" customHeight="1">
      <c r="B103" s="159" t="s">
        <v>230</v>
      </c>
      <c r="C103" s="185" t="s">
        <v>231</v>
      </c>
      <c r="D103" s="205">
        <f>161847.84/1000</f>
        <v>161.84784</v>
      </c>
      <c r="E103" s="102"/>
      <c r="F103" s="74"/>
    </row>
    <row r="104" spans="2:6" s="28" customFormat="1" ht="15.75">
      <c r="B104" s="179" t="s">
        <v>208</v>
      </c>
      <c r="C104" s="185"/>
      <c r="D104" s="206">
        <f>SUM(D103)</f>
        <v>161.84784</v>
      </c>
      <c r="E104" s="102"/>
      <c r="F104" s="74"/>
    </row>
    <row r="105" spans="2:6" s="28" customFormat="1" ht="15.75">
      <c r="B105" s="287" t="s">
        <v>232</v>
      </c>
      <c r="C105" s="288"/>
      <c r="D105" s="288"/>
      <c r="E105" s="289"/>
      <c r="F105" s="74"/>
    </row>
    <row r="106" spans="2:6" s="28" customFormat="1" ht="15.75">
      <c r="B106" s="183" t="s">
        <v>233</v>
      </c>
      <c r="C106" s="160" t="s">
        <v>1494</v>
      </c>
      <c r="D106" s="209">
        <f>(1028.22+2437.31)/1000</f>
        <v>3.4655299999999998</v>
      </c>
      <c r="E106" s="102"/>
      <c r="F106" s="74"/>
    </row>
    <row r="107" spans="2:6" s="28" customFormat="1" ht="47.25">
      <c r="B107" s="159" t="s">
        <v>234</v>
      </c>
      <c r="C107" s="160" t="s">
        <v>235</v>
      </c>
      <c r="D107" s="209">
        <f>(57360.3+133840.7)/1000</f>
        <v>191.201</v>
      </c>
      <c r="E107" s="102"/>
      <c r="F107" s="74"/>
    </row>
    <row r="108" spans="2:6" s="28" customFormat="1" ht="15.75">
      <c r="B108" s="179" t="s">
        <v>208</v>
      </c>
      <c r="C108" s="160"/>
      <c r="D108" s="209">
        <f>SUM(D106:D107)</f>
        <v>194.66653</v>
      </c>
      <c r="E108" s="102"/>
      <c r="F108" s="74"/>
    </row>
    <row r="109" spans="2:6" s="28" customFormat="1" ht="15.75">
      <c r="B109" s="284" t="s">
        <v>236</v>
      </c>
      <c r="C109" s="285"/>
      <c r="D109" s="285"/>
      <c r="E109" s="286"/>
      <c r="F109" s="74"/>
    </row>
    <row r="110" spans="2:6" s="28" customFormat="1" ht="15.75">
      <c r="B110" s="184" t="s">
        <v>204</v>
      </c>
      <c r="C110" s="160" t="s">
        <v>1494</v>
      </c>
      <c r="D110" s="200">
        <f>(998.71+2330.53)/1000</f>
        <v>3.3292400000000004</v>
      </c>
      <c r="E110" s="102"/>
      <c r="F110" s="74"/>
    </row>
    <row r="111" spans="2:6" s="28" customFormat="1" ht="15.75">
      <c r="B111" s="184" t="s">
        <v>204</v>
      </c>
      <c r="C111" s="160" t="s">
        <v>1494</v>
      </c>
      <c r="D111" s="200">
        <f>(1033+2401.78)/1000</f>
        <v>3.4347800000000004</v>
      </c>
      <c r="E111" s="102"/>
      <c r="F111" s="74"/>
    </row>
    <row r="112" spans="2:6" s="28" customFormat="1" ht="54.75" customHeight="1">
      <c r="B112" s="159" t="s">
        <v>237</v>
      </c>
      <c r="C112" s="185" t="s">
        <v>238</v>
      </c>
      <c r="D112" s="200">
        <f>(57388.39+128362.99)/1000</f>
        <v>185.75138</v>
      </c>
      <c r="E112" s="186"/>
      <c r="F112" s="74"/>
    </row>
    <row r="113" spans="2:6" s="28" customFormat="1" ht="47.25">
      <c r="B113" s="159" t="s">
        <v>239</v>
      </c>
      <c r="C113" s="185" t="s">
        <v>238</v>
      </c>
      <c r="D113" s="200">
        <f>(58428.9+136334.1)/1000</f>
        <v>194.763</v>
      </c>
      <c r="E113" s="102"/>
      <c r="F113" s="74"/>
    </row>
    <row r="114" spans="2:6" s="28" customFormat="1" ht="15.75">
      <c r="B114" s="179" t="s">
        <v>208</v>
      </c>
      <c r="C114" s="182"/>
      <c r="D114" s="206">
        <f>SUM(D110:D113)</f>
        <v>387.27840000000003</v>
      </c>
      <c r="E114" s="102"/>
      <c r="F114" s="74"/>
    </row>
    <row r="115" spans="2:6" ht="18" customHeight="1">
      <c r="B115" s="4"/>
      <c r="C115" s="4"/>
      <c r="D115" s="210"/>
      <c r="E115" s="45"/>
      <c r="F115" s="45"/>
    </row>
    <row r="116" spans="1:12" ht="41.25" customHeight="1">
      <c r="A116" s="241" t="s">
        <v>732</v>
      </c>
      <c r="B116" s="241"/>
      <c r="C116" s="241"/>
      <c r="D116" s="241"/>
      <c r="E116" s="241"/>
      <c r="F116" s="217"/>
      <c r="G116" s="217"/>
      <c r="H116" s="217"/>
      <c r="I116" s="217"/>
      <c r="J116" s="217"/>
      <c r="K116" s="217"/>
      <c r="L116" s="217"/>
    </row>
    <row r="117" spans="1:5" ht="63">
      <c r="A117" s="9" t="s">
        <v>734</v>
      </c>
      <c r="B117" s="9" t="s">
        <v>730</v>
      </c>
      <c r="C117" s="9" t="s">
        <v>722</v>
      </c>
      <c r="D117" s="9" t="s">
        <v>725</v>
      </c>
      <c r="E117" s="11" t="s">
        <v>726</v>
      </c>
    </row>
    <row r="118" spans="1:5" ht="12.75">
      <c r="A118" s="1">
        <v>1</v>
      </c>
      <c r="B118" s="1">
        <v>2</v>
      </c>
      <c r="C118" s="1">
        <v>3</v>
      </c>
      <c r="D118" s="1">
        <v>4</v>
      </c>
      <c r="E118" s="1">
        <v>5</v>
      </c>
    </row>
    <row r="119" spans="1:6" ht="18.75">
      <c r="A119" s="1"/>
      <c r="B119" s="241" t="s">
        <v>627</v>
      </c>
      <c r="C119" s="241"/>
      <c r="D119" s="241"/>
      <c r="E119" s="241"/>
      <c r="F119" s="241"/>
    </row>
    <row r="120" spans="1:5" s="28" customFormat="1" ht="18.75" customHeight="1">
      <c r="A120" s="9"/>
      <c r="B120" s="46" t="s">
        <v>653</v>
      </c>
      <c r="C120" s="9" t="s">
        <v>654</v>
      </c>
      <c r="D120" s="49">
        <v>9.7</v>
      </c>
      <c r="E120" s="9"/>
    </row>
    <row r="121" spans="1:5" s="28" customFormat="1" ht="18.75" customHeight="1">
      <c r="A121" s="9"/>
      <c r="B121" s="46" t="s">
        <v>655</v>
      </c>
      <c r="C121" s="9" t="s">
        <v>1056</v>
      </c>
      <c r="D121" s="49">
        <v>9.6</v>
      </c>
      <c r="E121" s="9"/>
    </row>
    <row r="122" spans="1:5" s="28" customFormat="1" ht="15.75">
      <c r="A122" s="9"/>
      <c r="B122" s="47" t="s">
        <v>656</v>
      </c>
      <c r="C122" s="63" t="s">
        <v>639</v>
      </c>
      <c r="D122" s="130">
        <v>1.2</v>
      </c>
      <c r="E122" s="9"/>
    </row>
    <row r="123" spans="1:5" s="28" customFormat="1" ht="15.75">
      <c r="A123" s="9"/>
      <c r="B123" s="47" t="s">
        <v>657</v>
      </c>
      <c r="C123" s="63" t="s">
        <v>658</v>
      </c>
      <c r="D123" s="130">
        <v>1</v>
      </c>
      <c r="E123" s="9"/>
    </row>
    <row r="124" spans="1:5" s="28" customFormat="1" ht="15.75">
      <c r="A124" s="9"/>
      <c r="B124" s="47" t="s">
        <v>659</v>
      </c>
      <c r="C124" s="63" t="s">
        <v>660</v>
      </c>
      <c r="D124" s="130">
        <v>1.3</v>
      </c>
      <c r="E124" s="9"/>
    </row>
    <row r="125" spans="1:5" s="28" customFormat="1" ht="15.75">
      <c r="A125" s="9"/>
      <c r="B125" s="47" t="s">
        <v>1441</v>
      </c>
      <c r="C125" s="63" t="s">
        <v>661</v>
      </c>
      <c r="D125" s="130">
        <v>10.8</v>
      </c>
      <c r="E125" s="9"/>
    </row>
    <row r="126" spans="1:5" s="28" customFormat="1" ht="15.75">
      <c r="A126" s="9"/>
      <c r="B126" s="47" t="s">
        <v>662</v>
      </c>
      <c r="C126" s="63" t="s">
        <v>663</v>
      </c>
      <c r="D126" s="130">
        <v>7</v>
      </c>
      <c r="E126" s="9"/>
    </row>
    <row r="127" spans="1:5" s="28" customFormat="1" ht="15.75">
      <c r="A127" s="9"/>
      <c r="B127" s="47" t="s">
        <v>664</v>
      </c>
      <c r="C127" s="63" t="s">
        <v>665</v>
      </c>
      <c r="D127" s="130">
        <v>13.4</v>
      </c>
      <c r="E127" s="9"/>
    </row>
    <row r="128" spans="1:5" s="28" customFormat="1" ht="15.75">
      <c r="A128" s="9"/>
      <c r="B128" s="21" t="s">
        <v>666</v>
      </c>
      <c r="C128" s="63" t="s">
        <v>667</v>
      </c>
      <c r="D128" s="130">
        <v>2.3</v>
      </c>
      <c r="E128" s="9"/>
    </row>
    <row r="129" spans="1:5" s="28" customFormat="1" ht="15.75">
      <c r="A129" s="9"/>
      <c r="B129" s="21" t="s">
        <v>668</v>
      </c>
      <c r="C129" s="63" t="s">
        <v>669</v>
      </c>
      <c r="D129" s="130">
        <v>12.3</v>
      </c>
      <c r="E129" s="9"/>
    </row>
    <row r="130" spans="1:5" s="28" customFormat="1" ht="15.75">
      <c r="A130" s="9"/>
      <c r="B130" s="21" t="s">
        <v>670</v>
      </c>
      <c r="C130" s="63" t="s">
        <v>671</v>
      </c>
      <c r="D130" s="130">
        <v>38.8</v>
      </c>
      <c r="E130" s="9"/>
    </row>
    <row r="131" spans="1:6" ht="18.75">
      <c r="A131" s="1"/>
      <c r="B131" s="241" t="s">
        <v>753</v>
      </c>
      <c r="C131" s="241"/>
      <c r="D131" s="241"/>
      <c r="E131" s="241"/>
      <c r="F131" s="241"/>
    </row>
    <row r="132" spans="1:5" ht="15.75">
      <c r="A132" s="1"/>
      <c r="B132" s="16" t="s">
        <v>828</v>
      </c>
      <c r="C132" s="17" t="s">
        <v>829</v>
      </c>
      <c r="D132" s="26">
        <v>2.098</v>
      </c>
      <c r="E132" s="1"/>
    </row>
    <row r="133" spans="1:5" ht="15.75" hidden="1">
      <c r="A133" s="12"/>
      <c r="B133" s="16" t="s">
        <v>830</v>
      </c>
      <c r="C133" s="17" t="s">
        <v>831</v>
      </c>
      <c r="D133" s="26">
        <v>1.828</v>
      </c>
      <c r="E133" s="12"/>
    </row>
    <row r="134" spans="1:5" ht="15.75" hidden="1">
      <c r="A134" s="12"/>
      <c r="B134" s="16" t="s">
        <v>830</v>
      </c>
      <c r="C134" s="32" t="s">
        <v>790</v>
      </c>
      <c r="D134" s="26">
        <v>6.141</v>
      </c>
      <c r="E134" s="12"/>
    </row>
    <row r="135" spans="2:5" ht="15.75">
      <c r="B135" s="16" t="s">
        <v>832</v>
      </c>
      <c r="C135" s="17" t="s">
        <v>833</v>
      </c>
      <c r="D135" s="97">
        <v>28.162</v>
      </c>
      <c r="E135" s="12"/>
    </row>
    <row r="136" spans="2:5" ht="15.75" hidden="1">
      <c r="B136" s="16" t="s">
        <v>830</v>
      </c>
      <c r="C136" s="17" t="s">
        <v>834</v>
      </c>
      <c r="D136" s="97">
        <v>0.544</v>
      </c>
      <c r="E136" s="12"/>
    </row>
    <row r="137" spans="2:5" ht="15.75" hidden="1">
      <c r="B137" s="16" t="s">
        <v>835</v>
      </c>
      <c r="C137" s="17" t="s">
        <v>836</v>
      </c>
      <c r="D137" s="97">
        <v>31.475</v>
      </c>
      <c r="E137" s="12"/>
    </row>
    <row r="138" spans="2:5" ht="15.75" hidden="1">
      <c r="B138" s="19" t="s">
        <v>837</v>
      </c>
      <c r="C138" s="17" t="s">
        <v>838</v>
      </c>
      <c r="D138" s="97">
        <v>6.918</v>
      </c>
      <c r="E138" s="12"/>
    </row>
    <row r="139" spans="2:5" ht="15.75" hidden="1">
      <c r="B139" s="16" t="s">
        <v>830</v>
      </c>
      <c r="C139" s="17" t="s">
        <v>839</v>
      </c>
      <c r="D139" s="97">
        <v>6.367</v>
      </c>
      <c r="E139" s="12"/>
    </row>
    <row r="140" spans="2:5" ht="15.75">
      <c r="B140" s="16" t="s">
        <v>840</v>
      </c>
      <c r="C140" s="17" t="s">
        <v>841</v>
      </c>
      <c r="D140" s="97">
        <v>3.456</v>
      </c>
      <c r="E140" s="12"/>
    </row>
    <row r="141" spans="2:5" ht="15.75">
      <c r="B141" s="36" t="s">
        <v>842</v>
      </c>
      <c r="C141" s="17" t="s">
        <v>843</v>
      </c>
      <c r="D141" s="97">
        <v>0.157</v>
      </c>
      <c r="E141" s="12"/>
    </row>
    <row r="142" spans="2:5" ht="15.75">
      <c r="B142" s="16" t="s">
        <v>844</v>
      </c>
      <c r="C142" s="17" t="s">
        <v>810</v>
      </c>
      <c r="D142" s="97">
        <v>15.96</v>
      </c>
      <c r="E142" s="12"/>
    </row>
    <row r="143" spans="2:5" ht="15.75">
      <c r="B143" s="16" t="s">
        <v>845</v>
      </c>
      <c r="C143" s="17" t="s">
        <v>810</v>
      </c>
      <c r="D143" s="97">
        <v>29.28</v>
      </c>
      <c r="E143" s="12"/>
    </row>
    <row r="144" spans="2:5" ht="32.25" customHeight="1" hidden="1">
      <c r="B144" s="19" t="s">
        <v>837</v>
      </c>
      <c r="C144" s="17" t="s">
        <v>846</v>
      </c>
      <c r="D144" s="97">
        <v>4.522</v>
      </c>
      <c r="E144" s="12"/>
    </row>
    <row r="145" spans="2:5" ht="15.75" hidden="1">
      <c r="B145" s="16" t="s">
        <v>830</v>
      </c>
      <c r="C145" s="17" t="s">
        <v>847</v>
      </c>
      <c r="D145" s="97">
        <v>2.102</v>
      </c>
      <c r="E145" s="12"/>
    </row>
    <row r="146" spans="2:5" ht="15.75">
      <c r="B146" s="19" t="s">
        <v>848</v>
      </c>
      <c r="C146" s="17" t="s">
        <v>849</v>
      </c>
      <c r="D146" s="97">
        <v>4.41</v>
      </c>
      <c r="E146" s="12"/>
    </row>
    <row r="147" spans="2:5" ht="15.75" hidden="1">
      <c r="B147" s="16" t="s">
        <v>830</v>
      </c>
      <c r="C147" s="17" t="s">
        <v>850</v>
      </c>
      <c r="D147" s="97">
        <v>23.847</v>
      </c>
      <c r="E147" s="12"/>
    </row>
    <row r="148" spans="2:5" ht="15.75" hidden="1">
      <c r="B148" s="19" t="s">
        <v>837</v>
      </c>
      <c r="C148" s="17" t="s">
        <v>851</v>
      </c>
      <c r="D148" s="97">
        <v>1.879</v>
      </c>
      <c r="E148" s="12"/>
    </row>
    <row r="149" spans="2:5" ht="15.75">
      <c r="B149" s="16" t="s">
        <v>852</v>
      </c>
      <c r="C149" s="17" t="s">
        <v>853</v>
      </c>
      <c r="D149" s="97">
        <v>148.862</v>
      </c>
      <c r="E149" s="12"/>
    </row>
    <row r="150" spans="2:5" ht="15.75">
      <c r="B150" s="16" t="s">
        <v>854</v>
      </c>
      <c r="C150" s="17" t="s">
        <v>855</v>
      </c>
      <c r="D150" s="97">
        <v>0.32</v>
      </c>
      <c r="E150" s="12"/>
    </row>
    <row r="151" spans="2:5" ht="15.75" hidden="1">
      <c r="B151" s="16" t="s">
        <v>830</v>
      </c>
      <c r="C151" s="17" t="s">
        <v>856</v>
      </c>
      <c r="D151" s="97">
        <v>9.213</v>
      </c>
      <c r="E151" s="12"/>
    </row>
    <row r="152" spans="2:5" ht="15.75" hidden="1">
      <c r="B152" s="19" t="s">
        <v>837</v>
      </c>
      <c r="C152" s="17" t="s">
        <v>857</v>
      </c>
      <c r="D152" s="97">
        <v>4.374</v>
      </c>
      <c r="E152" s="12"/>
    </row>
    <row r="153" spans="2:5" ht="15.75">
      <c r="B153" s="16" t="s">
        <v>858</v>
      </c>
      <c r="C153" s="17" t="s">
        <v>859</v>
      </c>
      <c r="D153" s="97">
        <v>3.512</v>
      </c>
      <c r="E153" s="12"/>
    </row>
    <row r="154" spans="2:5" ht="15.75" hidden="1">
      <c r="B154" s="16" t="s">
        <v>860</v>
      </c>
      <c r="C154" s="17" t="s">
        <v>861</v>
      </c>
      <c r="D154" s="97">
        <v>0.994</v>
      </c>
      <c r="E154" s="12"/>
    </row>
    <row r="155" spans="2:5" ht="15.75">
      <c r="B155" s="16" t="s">
        <v>862</v>
      </c>
      <c r="C155" s="17" t="s">
        <v>861</v>
      </c>
      <c r="D155" s="97">
        <v>3</v>
      </c>
      <c r="E155" s="12"/>
    </row>
    <row r="156" spans="2:5" ht="15.75" hidden="1">
      <c r="B156" s="16" t="s">
        <v>830</v>
      </c>
      <c r="C156" s="17" t="s">
        <v>863</v>
      </c>
      <c r="D156" s="97">
        <v>5.027</v>
      </c>
      <c r="E156" s="12"/>
    </row>
    <row r="157" spans="2:5" ht="15.75">
      <c r="B157" s="36" t="s">
        <v>864</v>
      </c>
      <c r="C157" s="17" t="s">
        <v>843</v>
      </c>
      <c r="D157" s="97">
        <v>1.15</v>
      </c>
      <c r="E157" s="12"/>
    </row>
    <row r="158" spans="2:5" ht="15.75">
      <c r="B158" s="36" t="s">
        <v>865</v>
      </c>
      <c r="C158" s="17" t="s">
        <v>866</v>
      </c>
      <c r="D158" s="97">
        <v>0.843</v>
      </c>
      <c r="E158" s="12"/>
    </row>
    <row r="159" spans="2:5" ht="15.75">
      <c r="B159" s="16" t="s">
        <v>867</v>
      </c>
      <c r="C159" s="17" t="s">
        <v>868</v>
      </c>
      <c r="D159" s="97">
        <v>3.047</v>
      </c>
      <c r="E159" s="12"/>
    </row>
    <row r="160" spans="2:5" ht="15.75" hidden="1">
      <c r="B160" s="16" t="s">
        <v>830</v>
      </c>
      <c r="C160" s="17" t="s">
        <v>869</v>
      </c>
      <c r="D160" s="97">
        <v>3.911</v>
      </c>
      <c r="E160" s="12"/>
    </row>
    <row r="161" spans="2:5" ht="15.75">
      <c r="B161" s="16" t="s">
        <v>870</v>
      </c>
      <c r="C161" s="17" t="s">
        <v>871</v>
      </c>
      <c r="D161" s="97">
        <v>3</v>
      </c>
      <c r="E161" s="12"/>
    </row>
    <row r="162" spans="2:5" ht="15.75">
      <c r="B162" s="18" t="s">
        <v>872</v>
      </c>
      <c r="C162" s="17" t="s">
        <v>873</v>
      </c>
      <c r="D162" s="97">
        <v>1.624</v>
      </c>
      <c r="E162" s="12"/>
    </row>
    <row r="163" spans="2:5" ht="15.75">
      <c r="B163" s="18" t="s">
        <v>874</v>
      </c>
      <c r="C163" s="17" t="s">
        <v>875</v>
      </c>
      <c r="D163" s="97">
        <v>5.77</v>
      </c>
      <c r="E163" s="12"/>
    </row>
    <row r="164" spans="2:5" ht="15.75">
      <c r="B164" s="36" t="s">
        <v>876</v>
      </c>
      <c r="C164" s="17" t="s">
        <v>877</v>
      </c>
      <c r="D164" s="97">
        <f>0.367+0.184</f>
        <v>0.5509999999999999</v>
      </c>
      <c r="E164" s="12"/>
    </row>
    <row r="165" spans="2:5" ht="21.75" customHeight="1">
      <c r="B165" s="16" t="s">
        <v>878</v>
      </c>
      <c r="C165" s="17" t="s">
        <v>879</v>
      </c>
      <c r="D165" s="97">
        <v>0.168</v>
      </c>
      <c r="E165" s="12"/>
    </row>
    <row r="166" spans="2:5" ht="31.5" customHeight="1">
      <c r="B166" s="36" t="s">
        <v>880</v>
      </c>
      <c r="C166" s="17" t="s">
        <v>767</v>
      </c>
      <c r="D166" s="97">
        <v>0.99</v>
      </c>
      <c r="E166" s="12"/>
    </row>
    <row r="167" spans="2:5" ht="15.75">
      <c r="B167" s="36" t="s">
        <v>881</v>
      </c>
      <c r="C167" s="17" t="s">
        <v>868</v>
      </c>
      <c r="D167" s="97">
        <v>1.74</v>
      </c>
      <c r="E167" s="12"/>
    </row>
    <row r="168" spans="2:5" ht="31.5">
      <c r="B168" s="18" t="s">
        <v>882</v>
      </c>
      <c r="C168" s="17" t="s">
        <v>883</v>
      </c>
      <c r="D168" s="97">
        <v>1.5</v>
      </c>
      <c r="E168" s="12"/>
    </row>
    <row r="169" spans="2:5" ht="15.75">
      <c r="B169" s="19" t="s">
        <v>884</v>
      </c>
      <c r="C169" s="17" t="s">
        <v>883</v>
      </c>
      <c r="D169" s="97">
        <v>4.4</v>
      </c>
      <c r="E169" s="12"/>
    </row>
    <row r="170" spans="2:5" ht="19.5" customHeight="1">
      <c r="B170" s="18" t="s">
        <v>885</v>
      </c>
      <c r="C170" s="17" t="s">
        <v>886</v>
      </c>
      <c r="D170" s="97">
        <v>9.915</v>
      </c>
      <c r="E170" s="12"/>
    </row>
    <row r="171" spans="2:5" ht="31.5">
      <c r="B171" s="36" t="s">
        <v>887</v>
      </c>
      <c r="C171" s="17" t="s">
        <v>888</v>
      </c>
      <c r="D171" s="97">
        <v>1.98</v>
      </c>
      <c r="E171" s="12"/>
    </row>
    <row r="172" spans="2:5" ht="31.5" customHeight="1">
      <c r="B172" s="36" t="s">
        <v>889</v>
      </c>
      <c r="C172" s="17" t="s">
        <v>890</v>
      </c>
      <c r="D172" s="97">
        <v>0.136</v>
      </c>
      <c r="E172" s="12"/>
    </row>
    <row r="173" spans="2:5" ht="15.75">
      <c r="B173" s="18" t="s">
        <v>891</v>
      </c>
      <c r="C173" s="17" t="s">
        <v>875</v>
      </c>
      <c r="D173" s="97">
        <v>3.585</v>
      </c>
      <c r="E173" s="12"/>
    </row>
    <row r="174" spans="2:5" ht="15.75" hidden="1">
      <c r="B174" s="16" t="s">
        <v>830</v>
      </c>
      <c r="C174" s="17" t="s">
        <v>892</v>
      </c>
      <c r="D174" s="97">
        <v>5.184</v>
      </c>
      <c r="E174" s="12"/>
    </row>
    <row r="175" spans="2:5" ht="20.25" customHeight="1">
      <c r="B175" s="36" t="s">
        <v>893</v>
      </c>
      <c r="C175" s="17" t="s">
        <v>843</v>
      </c>
      <c r="D175" s="97">
        <v>1.138</v>
      </c>
      <c r="E175" s="12"/>
    </row>
    <row r="176" spans="2:5" ht="15.75">
      <c r="B176" s="16" t="s">
        <v>894</v>
      </c>
      <c r="C176" s="17" t="s">
        <v>868</v>
      </c>
      <c r="D176" s="97">
        <v>0.33</v>
      </c>
      <c r="E176" s="12"/>
    </row>
    <row r="177" spans="2:5" ht="15.75">
      <c r="B177" s="16" t="s">
        <v>591</v>
      </c>
      <c r="C177" s="17" t="s">
        <v>895</v>
      </c>
      <c r="D177" s="97">
        <v>3.639</v>
      </c>
      <c r="E177" s="12"/>
    </row>
    <row r="178" spans="2:5" ht="15.75">
      <c r="B178" s="16" t="s">
        <v>896</v>
      </c>
      <c r="C178" s="17" t="s">
        <v>897</v>
      </c>
      <c r="D178" s="97">
        <v>0.697</v>
      </c>
      <c r="E178" s="12"/>
    </row>
    <row r="179" spans="2:5" ht="20.25" customHeight="1">
      <c r="B179" s="16" t="s">
        <v>898</v>
      </c>
      <c r="C179" s="17" t="s">
        <v>897</v>
      </c>
      <c r="D179" s="97">
        <v>0.828</v>
      </c>
      <c r="E179" s="12"/>
    </row>
    <row r="180" spans="2:5" ht="21.75" customHeight="1">
      <c r="B180" s="16" t="s">
        <v>899</v>
      </c>
      <c r="C180" s="17" t="s">
        <v>740</v>
      </c>
      <c r="D180" s="97">
        <v>9.678</v>
      </c>
      <c r="E180" s="12"/>
    </row>
    <row r="181" spans="2:5" ht="15.75">
      <c r="B181" s="16" t="s">
        <v>900</v>
      </c>
      <c r="C181" s="17" t="s">
        <v>901</v>
      </c>
      <c r="D181" s="97">
        <v>7.929</v>
      </c>
      <c r="E181" s="12"/>
    </row>
    <row r="182" spans="2:5" ht="15.75">
      <c r="B182" s="16" t="s">
        <v>902</v>
      </c>
      <c r="C182" s="17" t="s">
        <v>868</v>
      </c>
      <c r="D182" s="97">
        <v>0.095</v>
      </c>
      <c r="E182" s="12"/>
    </row>
    <row r="183" spans="2:5" ht="15.75">
      <c r="B183" s="18" t="s">
        <v>903</v>
      </c>
      <c r="C183" s="17" t="s">
        <v>904</v>
      </c>
      <c r="D183" s="97">
        <v>15.54</v>
      </c>
      <c r="E183" s="12"/>
    </row>
    <row r="184" spans="2:5" ht="15.75">
      <c r="B184" s="18" t="s">
        <v>592</v>
      </c>
      <c r="C184" s="17" t="s">
        <v>866</v>
      </c>
      <c r="D184" s="97">
        <f>0.559+6.15+6.279</f>
        <v>12.988</v>
      </c>
      <c r="E184" s="12"/>
    </row>
    <row r="185" spans="2:5" ht="19.5" customHeight="1">
      <c r="B185" s="18" t="s">
        <v>905</v>
      </c>
      <c r="C185" s="17" t="s">
        <v>897</v>
      </c>
      <c r="D185" s="97">
        <v>0.234</v>
      </c>
      <c r="E185" s="12"/>
    </row>
    <row r="186" spans="2:5" ht="15.75">
      <c r="B186" s="18" t="s">
        <v>906</v>
      </c>
      <c r="C186" s="17" t="s">
        <v>907</v>
      </c>
      <c r="D186" s="97">
        <v>2.913</v>
      </c>
      <c r="E186" s="12"/>
    </row>
    <row r="187" spans="2:5" ht="31.5">
      <c r="B187" s="18" t="s">
        <v>908</v>
      </c>
      <c r="C187" s="17" t="s">
        <v>909</v>
      </c>
      <c r="D187" s="97">
        <v>42.55</v>
      </c>
      <c r="E187" s="12"/>
    </row>
    <row r="188" spans="2:5" ht="15.75">
      <c r="B188" s="18" t="s">
        <v>910</v>
      </c>
      <c r="C188" s="17" t="s">
        <v>911</v>
      </c>
      <c r="D188" s="97">
        <v>5.08</v>
      </c>
      <c r="E188" s="12"/>
    </row>
    <row r="189" spans="2:5" ht="22.5" customHeight="1">
      <c r="B189" s="18" t="s">
        <v>912</v>
      </c>
      <c r="C189" s="17" t="s">
        <v>913</v>
      </c>
      <c r="D189" s="97">
        <v>0.881</v>
      </c>
      <c r="E189" s="12"/>
    </row>
    <row r="190" spans="2:5" ht="15.75">
      <c r="B190" s="19" t="s">
        <v>914</v>
      </c>
      <c r="C190" s="17" t="s">
        <v>833</v>
      </c>
      <c r="D190" s="97">
        <v>1.8</v>
      </c>
      <c r="E190" s="12"/>
    </row>
    <row r="191" spans="2:5" ht="15.75">
      <c r="B191" s="37" t="s">
        <v>915</v>
      </c>
      <c r="C191" s="17" t="s">
        <v>767</v>
      </c>
      <c r="D191" s="97">
        <v>2.585</v>
      </c>
      <c r="E191" s="12"/>
    </row>
    <row r="192" spans="2:5" ht="15.75" hidden="1">
      <c r="B192" s="19" t="s">
        <v>837</v>
      </c>
      <c r="C192" s="17" t="s">
        <v>916</v>
      </c>
      <c r="D192" s="97">
        <v>4.522</v>
      </c>
      <c r="E192" s="12"/>
    </row>
    <row r="193" spans="2:5" ht="51" customHeight="1">
      <c r="B193" s="18" t="s">
        <v>917</v>
      </c>
      <c r="C193" s="17" t="s">
        <v>750</v>
      </c>
      <c r="D193" s="97">
        <v>67.577</v>
      </c>
      <c r="E193" s="12"/>
    </row>
    <row r="194" spans="2:5" ht="15.75">
      <c r="B194" s="37" t="s">
        <v>918</v>
      </c>
      <c r="C194" s="17" t="s">
        <v>767</v>
      </c>
      <c r="D194" s="97">
        <v>0.525</v>
      </c>
      <c r="E194" s="12"/>
    </row>
    <row r="195" spans="2:5" ht="31.5">
      <c r="B195" s="37" t="s">
        <v>919</v>
      </c>
      <c r="C195" s="17" t="s">
        <v>920</v>
      </c>
      <c r="D195" s="97">
        <v>1.7</v>
      </c>
      <c r="E195" s="12"/>
    </row>
    <row r="196" spans="2:5" ht="21.75" customHeight="1" hidden="1">
      <c r="B196" s="19" t="s">
        <v>837</v>
      </c>
      <c r="C196" s="17" t="s">
        <v>921</v>
      </c>
      <c r="D196" s="97">
        <v>3.145</v>
      </c>
      <c r="E196" s="12"/>
    </row>
    <row r="197" spans="2:5" ht="15.75">
      <c r="B197" s="19" t="s">
        <v>922</v>
      </c>
      <c r="C197" s="17" t="s">
        <v>868</v>
      </c>
      <c r="D197" s="97">
        <f>0.85-0.498</f>
        <v>0.352</v>
      </c>
      <c r="E197" s="12"/>
    </row>
    <row r="198" spans="2:5" ht="18.75" customHeight="1">
      <c r="B198" s="18" t="s">
        <v>923</v>
      </c>
      <c r="C198" s="17" t="s">
        <v>924</v>
      </c>
      <c r="D198" s="97">
        <v>4</v>
      </c>
      <c r="E198" s="12"/>
    </row>
    <row r="199" spans="2:5" ht="18.75" customHeight="1">
      <c r="B199" s="18" t="s">
        <v>925</v>
      </c>
      <c r="C199" s="17" t="s">
        <v>926</v>
      </c>
      <c r="D199" s="97">
        <v>8.125</v>
      </c>
      <c r="E199" s="12"/>
    </row>
    <row r="200" spans="2:5" ht="15.75">
      <c r="B200" s="18" t="s">
        <v>927</v>
      </c>
      <c r="C200" s="17" t="s">
        <v>866</v>
      </c>
      <c r="D200" s="97">
        <v>0.848</v>
      </c>
      <c r="E200" s="12"/>
    </row>
    <row r="201" spans="2:5" ht="15.75">
      <c r="B201" s="37" t="s">
        <v>928</v>
      </c>
      <c r="C201" s="17" t="s">
        <v>929</v>
      </c>
      <c r="D201" s="97">
        <v>0.665</v>
      </c>
      <c r="E201" s="12"/>
    </row>
    <row r="202" spans="2:5" ht="15.75">
      <c r="B202" s="18" t="s">
        <v>930</v>
      </c>
      <c r="C202" s="17" t="s">
        <v>931</v>
      </c>
      <c r="D202" s="97">
        <v>0.457</v>
      </c>
      <c r="E202" s="12"/>
    </row>
    <row r="203" spans="2:5" ht="15.75">
      <c r="B203" s="18" t="s">
        <v>932</v>
      </c>
      <c r="C203" s="17" t="s">
        <v>767</v>
      </c>
      <c r="D203" s="97">
        <v>2.13</v>
      </c>
      <c r="E203" s="12"/>
    </row>
    <row r="204" spans="2:5" ht="15.75">
      <c r="B204" s="18" t="s">
        <v>867</v>
      </c>
      <c r="C204" s="17" t="s">
        <v>868</v>
      </c>
      <c r="D204" s="97">
        <v>1.482</v>
      </c>
      <c r="E204" s="12"/>
    </row>
    <row r="205" spans="2:5" ht="15.75">
      <c r="B205" s="18" t="s">
        <v>933</v>
      </c>
      <c r="C205" s="17" t="s">
        <v>934</v>
      </c>
      <c r="D205" s="97">
        <v>0.294</v>
      </c>
      <c r="E205" s="12"/>
    </row>
    <row r="206" spans="2:5" ht="31.5" customHeight="1">
      <c r="B206" s="18" t="s">
        <v>935</v>
      </c>
      <c r="C206" s="17" t="s">
        <v>913</v>
      </c>
      <c r="D206" s="97">
        <v>0.873</v>
      </c>
      <c r="E206" s="12"/>
    </row>
    <row r="207" spans="2:5" ht="15.75" hidden="1">
      <c r="B207" s="16" t="s">
        <v>830</v>
      </c>
      <c r="C207" s="17" t="s">
        <v>936</v>
      </c>
      <c r="D207" s="97">
        <v>0.884</v>
      </c>
      <c r="E207" s="12"/>
    </row>
    <row r="208" spans="2:5" ht="16.5" customHeight="1">
      <c r="B208" s="18" t="s">
        <v>937</v>
      </c>
      <c r="C208" s="17" t="s">
        <v>926</v>
      </c>
      <c r="D208" s="97">
        <v>5.904</v>
      </c>
      <c r="E208" s="12"/>
    </row>
    <row r="209" spans="2:5" ht="15.75">
      <c r="B209" s="19" t="s">
        <v>938</v>
      </c>
      <c r="C209" s="23" t="s">
        <v>939</v>
      </c>
      <c r="D209" s="98">
        <v>0.345</v>
      </c>
      <c r="E209" s="12"/>
    </row>
    <row r="210" spans="2:5" ht="23.25" customHeight="1">
      <c r="B210" s="18" t="s">
        <v>940</v>
      </c>
      <c r="C210" s="23" t="s">
        <v>941</v>
      </c>
      <c r="D210" s="98">
        <v>4.8</v>
      </c>
      <c r="E210" s="12"/>
    </row>
    <row r="211" spans="2:5" ht="15.75" hidden="1">
      <c r="B211" s="16" t="s">
        <v>830</v>
      </c>
      <c r="C211" s="23" t="s">
        <v>942</v>
      </c>
      <c r="D211" s="98">
        <v>0.204</v>
      </c>
      <c r="E211" s="12"/>
    </row>
    <row r="212" spans="2:5" ht="15.75">
      <c r="B212" s="18" t="s">
        <v>943</v>
      </c>
      <c r="C212" s="23" t="s">
        <v>944</v>
      </c>
      <c r="D212" s="98">
        <v>4</v>
      </c>
      <c r="E212" s="12"/>
    </row>
    <row r="213" spans="2:5" ht="34.5" customHeight="1">
      <c r="B213" s="18" t="s">
        <v>593</v>
      </c>
      <c r="C213" s="23" t="s">
        <v>945</v>
      </c>
      <c r="D213" s="98">
        <v>2.315</v>
      </c>
      <c r="E213" s="12"/>
    </row>
    <row r="214" spans="2:5" ht="15.75" hidden="1">
      <c r="B214" s="44" t="s">
        <v>1070</v>
      </c>
      <c r="C214" s="99"/>
      <c r="D214" s="24">
        <f>SUM(D132:D213)</f>
        <v>617.9939999999999</v>
      </c>
      <c r="E214" s="12"/>
    </row>
    <row r="215" ht="18.75">
      <c r="B215" s="41" t="s">
        <v>1024</v>
      </c>
    </row>
    <row r="216" spans="2:5" s="28" customFormat="1" ht="31.5" hidden="1">
      <c r="B216" s="100" t="s">
        <v>1032</v>
      </c>
      <c r="C216" s="101" t="s">
        <v>1033</v>
      </c>
      <c r="D216" s="140">
        <v>1163.94</v>
      </c>
      <c r="E216" s="21"/>
    </row>
    <row r="217" spans="2:5" s="28" customFormat="1" ht="15.75">
      <c r="B217" s="100" t="s">
        <v>1034</v>
      </c>
      <c r="C217" s="102" t="s">
        <v>1035</v>
      </c>
      <c r="D217" s="140">
        <v>122976</v>
      </c>
      <c r="E217" s="21"/>
    </row>
    <row r="218" spans="2:5" s="28" customFormat="1" ht="15.75">
      <c r="B218" s="100" t="s">
        <v>1036</v>
      </c>
      <c r="C218" s="102" t="s">
        <v>1037</v>
      </c>
      <c r="D218" s="140">
        <v>3420</v>
      </c>
      <c r="E218" s="21"/>
    </row>
    <row r="219" spans="2:5" s="28" customFormat="1" ht="31.5">
      <c r="B219" s="100" t="s">
        <v>1038</v>
      </c>
      <c r="C219" s="101" t="s">
        <v>1039</v>
      </c>
      <c r="D219" s="140">
        <v>9168.72</v>
      </c>
      <c r="E219" s="21"/>
    </row>
    <row r="220" spans="2:5" s="28" customFormat="1" ht="15.75">
      <c r="B220" s="100" t="s">
        <v>1040</v>
      </c>
      <c r="C220" s="102" t="s">
        <v>1041</v>
      </c>
      <c r="D220" s="140">
        <v>2640</v>
      </c>
      <c r="E220" s="21"/>
    </row>
    <row r="221" spans="2:5" s="28" customFormat="1" ht="15.75" hidden="1">
      <c r="B221" s="100" t="s">
        <v>1032</v>
      </c>
      <c r="C221" s="102" t="s">
        <v>1042</v>
      </c>
      <c r="D221" s="140">
        <v>330.72</v>
      </c>
      <c r="E221" s="21"/>
    </row>
    <row r="222" spans="2:5" s="28" customFormat="1" ht="15.75" hidden="1">
      <c r="B222" s="100" t="s">
        <v>1043</v>
      </c>
      <c r="C222" s="102" t="s">
        <v>1044</v>
      </c>
      <c r="D222" s="140">
        <v>4984.56</v>
      </c>
      <c r="E222" s="21"/>
    </row>
    <row r="223" spans="2:5" s="28" customFormat="1" ht="15.75" hidden="1">
      <c r="B223" s="100" t="s">
        <v>1045</v>
      </c>
      <c r="C223" s="102" t="s">
        <v>1046</v>
      </c>
      <c r="D223" s="140">
        <v>504.48</v>
      </c>
      <c r="E223" s="21"/>
    </row>
    <row r="224" spans="2:5" s="28" customFormat="1" ht="15.75">
      <c r="B224" s="100" t="s">
        <v>1047</v>
      </c>
      <c r="C224" s="102" t="s">
        <v>1048</v>
      </c>
      <c r="D224" s="140">
        <v>400</v>
      </c>
      <c r="E224" s="21"/>
    </row>
    <row r="225" spans="2:5" s="28" customFormat="1" ht="15.75">
      <c r="B225" s="100" t="s">
        <v>1049</v>
      </c>
      <c r="C225" s="102" t="s">
        <v>1050</v>
      </c>
      <c r="D225" s="140">
        <v>283.64</v>
      </c>
      <c r="E225" s="21"/>
    </row>
    <row r="226" spans="2:5" s="28" customFormat="1" ht="15.75">
      <c r="B226" s="100" t="s">
        <v>1051</v>
      </c>
      <c r="C226" s="102" t="s">
        <v>1052</v>
      </c>
      <c r="D226" s="140">
        <v>1380</v>
      </c>
      <c r="E226" s="21"/>
    </row>
    <row r="227" spans="2:5" s="28" customFormat="1" ht="15.75">
      <c r="B227" s="100" t="s">
        <v>1051</v>
      </c>
      <c r="C227" s="102" t="s">
        <v>1052</v>
      </c>
      <c r="D227" s="140">
        <v>6480</v>
      </c>
      <c r="E227" s="21"/>
    </row>
    <row r="228" spans="2:5" s="28" customFormat="1" ht="15.75">
      <c r="B228" s="100" t="s">
        <v>1053</v>
      </c>
      <c r="C228" s="102" t="s">
        <v>1054</v>
      </c>
      <c r="D228" s="140">
        <v>30000</v>
      </c>
      <c r="E228" s="21"/>
    </row>
    <row r="229" spans="2:5" s="28" customFormat="1" ht="15.75">
      <c r="B229" s="100" t="s">
        <v>1055</v>
      </c>
      <c r="C229" s="102" t="s">
        <v>1056</v>
      </c>
      <c r="D229" s="140">
        <v>3712</v>
      </c>
      <c r="E229" s="21"/>
    </row>
    <row r="230" spans="2:5" s="28" customFormat="1" ht="31.5">
      <c r="B230" s="100" t="s">
        <v>1057</v>
      </c>
      <c r="C230" s="101" t="s">
        <v>1058</v>
      </c>
      <c r="D230" s="140">
        <v>192</v>
      </c>
      <c r="E230" s="21"/>
    </row>
    <row r="231" spans="2:5" s="28" customFormat="1" ht="15.75">
      <c r="B231" s="100" t="s">
        <v>1059</v>
      </c>
      <c r="C231" s="101" t="s">
        <v>855</v>
      </c>
      <c r="D231" s="140">
        <v>70</v>
      </c>
      <c r="E231" s="21"/>
    </row>
    <row r="232" spans="2:5" s="28" customFormat="1" ht="31.5">
      <c r="B232" s="100" t="s">
        <v>1060</v>
      </c>
      <c r="C232" s="102" t="s">
        <v>1061</v>
      </c>
      <c r="D232" s="140">
        <v>38498.7</v>
      </c>
      <c r="E232" s="21"/>
    </row>
    <row r="233" spans="2:5" s="28" customFormat="1" ht="15.75" hidden="1">
      <c r="B233" s="100" t="s">
        <v>1032</v>
      </c>
      <c r="C233" s="102" t="s">
        <v>916</v>
      </c>
      <c r="D233" s="140">
        <v>1517.88</v>
      </c>
      <c r="E233" s="21"/>
    </row>
    <row r="234" spans="2:5" s="28" customFormat="1" ht="15.75">
      <c r="B234" s="100" t="s">
        <v>1062</v>
      </c>
      <c r="C234" s="102" t="s">
        <v>1063</v>
      </c>
      <c r="D234" s="140">
        <v>2500</v>
      </c>
      <c r="E234" s="21"/>
    </row>
    <row r="235" spans="2:5" s="28" customFormat="1" ht="31.5">
      <c r="B235" s="100" t="s">
        <v>1064</v>
      </c>
      <c r="C235" s="100" t="s">
        <v>1065</v>
      </c>
      <c r="D235" s="140">
        <v>815</v>
      </c>
      <c r="E235" s="21"/>
    </row>
    <row r="236" spans="2:5" s="28" customFormat="1" ht="31.5">
      <c r="B236" s="100" t="s">
        <v>1066</v>
      </c>
      <c r="C236" s="103" t="s">
        <v>1067</v>
      </c>
      <c r="D236" s="140">
        <v>2000</v>
      </c>
      <c r="E236" s="21"/>
    </row>
    <row r="237" spans="2:5" s="28" customFormat="1" ht="31.5">
      <c r="B237" s="100" t="s">
        <v>1068</v>
      </c>
      <c r="C237" s="103" t="s">
        <v>1069</v>
      </c>
      <c r="D237" s="140">
        <v>116</v>
      </c>
      <c r="E237" s="21"/>
    </row>
    <row r="238" spans="2:5" s="28" customFormat="1" ht="15.75" hidden="1">
      <c r="B238" s="40" t="s">
        <v>1070</v>
      </c>
      <c r="C238" s="40"/>
      <c r="D238" s="211">
        <f>SUM(D216:D237)</f>
        <v>233153.64</v>
      </c>
      <c r="E238" s="21"/>
    </row>
    <row r="239" spans="2:6" ht="18.75">
      <c r="B239" s="240" t="s">
        <v>1075</v>
      </c>
      <c r="C239" s="240"/>
      <c r="D239" s="240"/>
      <c r="E239" s="240"/>
      <c r="F239" s="240"/>
    </row>
    <row r="240" spans="2:5" s="28" customFormat="1" ht="15.75">
      <c r="B240" s="16" t="s">
        <v>1097</v>
      </c>
      <c r="C240" s="16" t="s">
        <v>1098</v>
      </c>
      <c r="D240" s="49">
        <v>3.675</v>
      </c>
      <c r="E240" s="21"/>
    </row>
    <row r="241" spans="2:5" s="28" customFormat="1" ht="17.25" customHeight="1">
      <c r="B241" s="16" t="s">
        <v>1099</v>
      </c>
      <c r="C241" s="16" t="s">
        <v>1100</v>
      </c>
      <c r="D241" s="49">
        <v>1.576</v>
      </c>
      <c r="E241" s="21"/>
    </row>
    <row r="242" spans="2:5" s="28" customFormat="1" ht="31.5">
      <c r="B242" s="16" t="s">
        <v>1101</v>
      </c>
      <c r="C242" s="16" t="s">
        <v>1102</v>
      </c>
      <c r="D242" s="49">
        <v>7.44</v>
      </c>
      <c r="E242" s="21"/>
    </row>
    <row r="243" spans="2:5" s="28" customFormat="1" ht="34.5" customHeight="1">
      <c r="B243" s="16" t="s">
        <v>1103</v>
      </c>
      <c r="C243" s="16" t="s">
        <v>1104</v>
      </c>
      <c r="D243" s="49">
        <v>29.196</v>
      </c>
      <c r="E243" s="21"/>
    </row>
    <row r="244" spans="2:5" s="28" customFormat="1" ht="31.5">
      <c r="B244" s="36" t="s">
        <v>1105</v>
      </c>
      <c r="C244" s="53" t="s">
        <v>1106</v>
      </c>
      <c r="D244" s="130">
        <v>12.536</v>
      </c>
      <c r="E244" s="21"/>
    </row>
    <row r="245" spans="2:5" s="28" customFormat="1" ht="15.75">
      <c r="B245" s="36" t="s">
        <v>1107</v>
      </c>
      <c r="C245" s="20" t="s">
        <v>1108</v>
      </c>
      <c r="D245" s="130">
        <v>6</v>
      </c>
      <c r="E245" s="21"/>
    </row>
    <row r="246" spans="2:5" s="28" customFormat="1" ht="31.5">
      <c r="B246" s="36" t="s">
        <v>1109</v>
      </c>
      <c r="C246" s="53" t="s">
        <v>1106</v>
      </c>
      <c r="D246" s="130">
        <v>2.667</v>
      </c>
      <c r="E246" s="21"/>
    </row>
    <row r="247" spans="2:5" s="28" customFormat="1" ht="15.75">
      <c r="B247" s="36" t="s">
        <v>1110</v>
      </c>
      <c r="C247" s="20" t="s">
        <v>1088</v>
      </c>
      <c r="D247" s="130">
        <v>2.304</v>
      </c>
      <c r="E247" s="21"/>
    </row>
    <row r="248" spans="2:5" s="28" customFormat="1" ht="66" customHeight="1">
      <c r="B248" s="36" t="s">
        <v>1111</v>
      </c>
      <c r="C248" s="20" t="s">
        <v>1056</v>
      </c>
      <c r="D248" s="130">
        <v>11.126</v>
      </c>
      <c r="E248" s="21"/>
    </row>
    <row r="249" spans="2:5" s="28" customFormat="1" ht="31.5">
      <c r="B249" s="36" t="s">
        <v>1112</v>
      </c>
      <c r="C249" s="20" t="s">
        <v>1113</v>
      </c>
      <c r="D249" s="130">
        <v>2.362</v>
      </c>
      <c r="E249" s="21"/>
    </row>
    <row r="250" spans="2:5" s="28" customFormat="1" ht="15.75" hidden="1">
      <c r="B250" s="36" t="s">
        <v>1114</v>
      </c>
      <c r="C250" s="20" t="s">
        <v>1115</v>
      </c>
      <c r="D250" s="130">
        <v>1.031</v>
      </c>
      <c r="E250" s="21"/>
    </row>
    <row r="251" spans="2:5" s="28" customFormat="1" ht="47.25">
      <c r="B251" s="36" t="s">
        <v>1116</v>
      </c>
      <c r="C251" s="20" t="s">
        <v>1117</v>
      </c>
      <c r="D251" s="130">
        <v>0.99</v>
      </c>
      <c r="E251" s="21"/>
    </row>
    <row r="252" spans="2:5" s="28" customFormat="1" ht="15.75">
      <c r="B252" s="36" t="s">
        <v>1118</v>
      </c>
      <c r="C252" s="20" t="s">
        <v>1046</v>
      </c>
      <c r="D252" s="130">
        <v>6.402</v>
      </c>
      <c r="E252" s="21"/>
    </row>
    <row r="253" spans="2:5" s="28" customFormat="1" ht="31.5">
      <c r="B253" s="36" t="s">
        <v>1119</v>
      </c>
      <c r="C253" s="20" t="s">
        <v>1120</v>
      </c>
      <c r="D253" s="130">
        <v>1.003</v>
      </c>
      <c r="E253" s="21"/>
    </row>
    <row r="254" spans="2:5" s="28" customFormat="1" ht="31.5">
      <c r="B254" s="36" t="s">
        <v>1121</v>
      </c>
      <c r="C254" s="20" t="s">
        <v>1122</v>
      </c>
      <c r="D254" s="130">
        <v>0.433</v>
      </c>
      <c r="E254" s="21"/>
    </row>
    <row r="255" spans="2:5" s="28" customFormat="1" ht="34.5" customHeight="1">
      <c r="B255" s="36" t="s">
        <v>1123</v>
      </c>
      <c r="C255" s="20" t="s">
        <v>1124</v>
      </c>
      <c r="D255" s="130">
        <v>0.0454</v>
      </c>
      <c r="E255" s="21"/>
    </row>
    <row r="256" spans="2:5" s="28" customFormat="1" ht="15.75">
      <c r="B256" s="50" t="s">
        <v>1125</v>
      </c>
      <c r="C256" s="50" t="s">
        <v>1126</v>
      </c>
      <c r="D256" s="130">
        <v>9.322</v>
      </c>
      <c r="E256" s="21"/>
    </row>
    <row r="257" spans="2:6" ht="18.75">
      <c r="B257" s="240" t="s">
        <v>1153</v>
      </c>
      <c r="C257" s="240"/>
      <c r="D257" s="240"/>
      <c r="E257" s="240"/>
      <c r="F257" s="240"/>
    </row>
    <row r="258" spans="2:6" ht="18.75">
      <c r="B258" s="21" t="s">
        <v>1228</v>
      </c>
      <c r="C258" s="48" t="s">
        <v>1054</v>
      </c>
      <c r="D258" s="63">
        <v>12.343</v>
      </c>
      <c r="E258" s="71"/>
      <c r="F258" s="45"/>
    </row>
    <row r="259" spans="2:6" ht="18.75">
      <c r="B259" s="143" t="s">
        <v>1229</v>
      </c>
      <c r="C259" s="48" t="s">
        <v>1230</v>
      </c>
      <c r="D259" s="130">
        <v>70</v>
      </c>
      <c r="E259" s="71"/>
      <c r="F259" s="45"/>
    </row>
    <row r="260" spans="2:6" ht="18.75">
      <c r="B260" s="240" t="s">
        <v>1231</v>
      </c>
      <c r="C260" s="240"/>
      <c r="D260" s="240"/>
      <c r="E260" s="240"/>
      <c r="F260" s="240"/>
    </row>
    <row r="261" spans="2:6" s="53" customFormat="1" ht="15.75">
      <c r="B261" s="20" t="s">
        <v>1246</v>
      </c>
      <c r="C261" s="16" t="s">
        <v>920</v>
      </c>
      <c r="D261" s="49">
        <v>0.6</v>
      </c>
      <c r="E261" s="107"/>
      <c r="F261" s="105"/>
    </row>
    <row r="262" spans="2:6" s="53" customFormat="1" ht="15.75">
      <c r="B262" s="20" t="s">
        <v>1247</v>
      </c>
      <c r="C262" s="20" t="s">
        <v>1248</v>
      </c>
      <c r="D262" s="141">
        <v>3</v>
      </c>
      <c r="E262" s="107"/>
      <c r="F262" s="105"/>
    </row>
    <row r="263" spans="2:6" s="53" customFormat="1" ht="15.75">
      <c r="B263" s="20" t="s">
        <v>1249</v>
      </c>
      <c r="C263" s="20" t="s">
        <v>1250</v>
      </c>
      <c r="D263" s="141">
        <v>0.6</v>
      </c>
      <c r="E263" s="107"/>
      <c r="F263" s="105"/>
    </row>
    <row r="264" spans="2:6" s="53" customFormat="1" ht="15.75">
      <c r="B264" s="20" t="s">
        <v>1251</v>
      </c>
      <c r="C264" s="104" t="s">
        <v>1252</v>
      </c>
      <c r="D264" s="142">
        <v>3.22</v>
      </c>
      <c r="E264" s="107"/>
      <c r="F264" s="105"/>
    </row>
    <row r="265" spans="2:6" s="53" customFormat="1" ht="15.75">
      <c r="B265" s="20" t="s">
        <v>1253</v>
      </c>
      <c r="C265" s="104" t="s">
        <v>1254</v>
      </c>
      <c r="D265" s="142">
        <v>0.138</v>
      </c>
      <c r="E265" s="107"/>
      <c r="F265" s="105"/>
    </row>
    <row r="266" spans="2:6" s="53" customFormat="1" ht="15.75">
      <c r="B266" s="20" t="s">
        <v>1255</v>
      </c>
      <c r="C266" s="104" t="s">
        <v>1256</v>
      </c>
      <c r="D266" s="142">
        <v>2.82</v>
      </c>
      <c r="E266" s="107"/>
      <c r="F266" s="105"/>
    </row>
    <row r="267" spans="2:6" s="53" customFormat="1" ht="15.75">
      <c r="B267" s="20" t="s">
        <v>1257</v>
      </c>
      <c r="C267" s="20" t="s">
        <v>1258</v>
      </c>
      <c r="D267" s="141">
        <v>0.251</v>
      </c>
      <c r="E267" s="107"/>
      <c r="F267" s="105"/>
    </row>
    <row r="268" spans="2:6" s="53" customFormat="1" ht="15.75">
      <c r="B268" s="20" t="s">
        <v>1259</v>
      </c>
      <c r="C268" s="20" t="s">
        <v>1245</v>
      </c>
      <c r="D268" s="141">
        <v>1.228</v>
      </c>
      <c r="E268" s="107"/>
      <c r="F268" s="105"/>
    </row>
    <row r="269" spans="2:6" s="53" customFormat="1" ht="15.75">
      <c r="B269" s="20" t="s">
        <v>1260</v>
      </c>
      <c r="C269" s="106" t="s">
        <v>1261</v>
      </c>
      <c r="D269" s="141">
        <v>3.5</v>
      </c>
      <c r="E269" s="107"/>
      <c r="F269" s="105"/>
    </row>
    <row r="270" spans="2:6" s="53" customFormat="1" ht="15.75">
      <c r="B270" s="20" t="s">
        <v>1262</v>
      </c>
      <c r="C270" s="20" t="s">
        <v>1263</v>
      </c>
      <c r="D270" s="141">
        <v>0.783</v>
      </c>
      <c r="E270" s="107"/>
      <c r="F270" s="105"/>
    </row>
    <row r="271" spans="2:6" s="53" customFormat="1" ht="15.75">
      <c r="B271" s="20" t="s">
        <v>1264</v>
      </c>
      <c r="C271" s="20" t="s">
        <v>1265</v>
      </c>
      <c r="D271" s="141">
        <v>3.42</v>
      </c>
      <c r="E271" s="107"/>
      <c r="F271" s="105"/>
    </row>
    <row r="272" spans="2:6" s="53" customFormat="1" ht="15.75">
      <c r="B272" s="20" t="s">
        <v>1266</v>
      </c>
      <c r="C272" s="20" t="s">
        <v>1258</v>
      </c>
      <c r="D272" s="141">
        <v>0.147</v>
      </c>
      <c r="E272" s="107"/>
      <c r="F272" s="105"/>
    </row>
    <row r="273" spans="2:6" s="53" customFormat="1" ht="15.75">
      <c r="B273" s="20" t="s">
        <v>1267</v>
      </c>
      <c r="C273" s="20" t="s">
        <v>1268</v>
      </c>
      <c r="D273" s="141">
        <v>1.4</v>
      </c>
      <c r="E273" s="107"/>
      <c r="F273" s="105"/>
    </row>
    <row r="274" spans="2:6" s="53" customFormat="1" ht="17.25" customHeight="1">
      <c r="B274" s="20" t="s">
        <v>1269</v>
      </c>
      <c r="C274" s="20" t="s">
        <v>1270</v>
      </c>
      <c r="D274" s="141">
        <v>2.026</v>
      </c>
      <c r="E274" s="107"/>
      <c r="F274" s="105"/>
    </row>
    <row r="275" spans="2:6" s="53" customFormat="1" ht="15.75">
      <c r="B275" s="20" t="s">
        <v>1271</v>
      </c>
      <c r="C275" s="20" t="s">
        <v>1272</v>
      </c>
      <c r="D275" s="141">
        <v>2.4</v>
      </c>
      <c r="E275" s="107"/>
      <c r="F275" s="105"/>
    </row>
    <row r="276" spans="2:6" s="53" customFormat="1" ht="15.75">
      <c r="B276" s="20" t="s">
        <v>1273</v>
      </c>
      <c r="C276" s="20" t="s">
        <v>1274</v>
      </c>
      <c r="D276" s="141">
        <v>1.413</v>
      </c>
      <c r="E276" s="107"/>
      <c r="F276" s="105"/>
    </row>
    <row r="277" spans="2:6" s="53" customFormat="1" ht="15.75">
      <c r="B277" s="20" t="s">
        <v>1275</v>
      </c>
      <c r="C277" s="20" t="s">
        <v>1276</v>
      </c>
      <c r="D277" s="141">
        <v>0.86</v>
      </c>
      <c r="E277" s="107"/>
      <c r="F277" s="105"/>
    </row>
    <row r="278" spans="2:6" s="53" customFormat="1" ht="15.75">
      <c r="B278" s="20" t="s">
        <v>1277</v>
      </c>
      <c r="C278" s="20" t="s">
        <v>1104</v>
      </c>
      <c r="D278" s="141">
        <v>34.885</v>
      </c>
      <c r="E278" s="107"/>
      <c r="F278" s="105"/>
    </row>
    <row r="279" spans="2:6" s="53" customFormat="1" ht="15.75">
      <c r="B279" s="20" t="s">
        <v>1278</v>
      </c>
      <c r="C279" s="20" t="s">
        <v>1279</v>
      </c>
      <c r="D279" s="141">
        <v>1.447</v>
      </c>
      <c r="E279" s="107"/>
      <c r="F279" s="105"/>
    </row>
    <row r="280" spans="2:6" s="53" customFormat="1" ht="15.75">
      <c r="B280" s="20" t="s">
        <v>1280</v>
      </c>
      <c r="C280" s="20" t="s">
        <v>1276</v>
      </c>
      <c r="D280" s="141">
        <v>1.291</v>
      </c>
      <c r="E280" s="107"/>
      <c r="F280" s="105"/>
    </row>
    <row r="281" spans="2:6" s="53" customFormat="1" ht="15.75">
      <c r="B281" s="20" t="s">
        <v>1281</v>
      </c>
      <c r="C281" s="20" t="s">
        <v>1282</v>
      </c>
      <c r="D281" s="141">
        <v>5.1</v>
      </c>
      <c r="E281" s="107"/>
      <c r="F281" s="105"/>
    </row>
    <row r="282" spans="2:6" ht="18.75">
      <c r="B282" s="240" t="s">
        <v>1290</v>
      </c>
      <c r="C282" s="240"/>
      <c r="D282" s="240"/>
      <c r="E282" s="240"/>
      <c r="F282" s="240"/>
    </row>
    <row r="283" spans="2:6" s="28" customFormat="1" ht="15.75">
      <c r="B283" s="21" t="s">
        <v>1327</v>
      </c>
      <c r="C283" s="21" t="s">
        <v>1328</v>
      </c>
      <c r="D283" s="130">
        <v>10</v>
      </c>
      <c r="E283" s="75"/>
      <c r="F283" s="74"/>
    </row>
    <row r="284" spans="2:6" s="28" customFormat="1" ht="32.25" customHeight="1">
      <c r="B284" s="20" t="s">
        <v>1329</v>
      </c>
      <c r="C284" s="21" t="s">
        <v>1330</v>
      </c>
      <c r="D284" s="130">
        <v>65.16468</v>
      </c>
      <c r="E284" s="75"/>
      <c r="F284" s="74"/>
    </row>
    <row r="285" spans="2:6" ht="18.75">
      <c r="B285" s="45" t="s">
        <v>1331</v>
      </c>
      <c r="C285" s="4"/>
      <c r="D285" s="65"/>
      <c r="E285" s="45"/>
      <c r="F285" s="45"/>
    </row>
    <row r="286" spans="2:6" s="28" customFormat="1" ht="15.75">
      <c r="B286" s="77" t="s">
        <v>1118</v>
      </c>
      <c r="C286" s="77" t="s">
        <v>1046</v>
      </c>
      <c r="D286" s="135">
        <v>5</v>
      </c>
      <c r="E286" s="75"/>
      <c r="F286" s="74"/>
    </row>
    <row r="287" spans="2:6" s="28" customFormat="1" ht="15.75">
      <c r="B287" s="77" t="s">
        <v>1367</v>
      </c>
      <c r="C287" s="77" t="s">
        <v>1368</v>
      </c>
      <c r="D287" s="135">
        <v>183.96</v>
      </c>
      <c r="E287" s="75"/>
      <c r="F287" s="74"/>
    </row>
    <row r="288" spans="2:6" s="28" customFormat="1" ht="15.75">
      <c r="B288" s="77" t="s">
        <v>1369</v>
      </c>
      <c r="C288" s="77" t="s">
        <v>1370</v>
      </c>
      <c r="D288" s="135">
        <v>3</v>
      </c>
      <c r="E288" s="75"/>
      <c r="F288" s="74"/>
    </row>
    <row r="289" spans="2:6" s="28" customFormat="1" ht="31.5">
      <c r="B289" s="77" t="s">
        <v>1371</v>
      </c>
      <c r="C289" s="77" t="s">
        <v>1372</v>
      </c>
      <c r="D289" s="135">
        <v>44.05262</v>
      </c>
      <c r="E289" s="75"/>
      <c r="F289" s="74"/>
    </row>
    <row r="290" spans="2:6" s="28" customFormat="1" ht="15.75">
      <c r="B290" s="77" t="s">
        <v>1373</v>
      </c>
      <c r="C290" s="77" t="s">
        <v>1048</v>
      </c>
      <c r="D290" s="135">
        <v>1.5</v>
      </c>
      <c r="E290" s="75"/>
      <c r="F290" s="74"/>
    </row>
    <row r="291" spans="2:6" s="28" customFormat="1" ht="31.5">
      <c r="B291" s="77" t="s">
        <v>1374</v>
      </c>
      <c r="C291" s="77" t="s">
        <v>1360</v>
      </c>
      <c r="D291" s="135">
        <v>7.5</v>
      </c>
      <c r="E291" s="75"/>
      <c r="F291" s="74"/>
    </row>
    <row r="292" spans="2:6" s="28" customFormat="1" ht="20.25" customHeight="1">
      <c r="B292" s="77" t="s">
        <v>1375</v>
      </c>
      <c r="C292" s="77" t="s">
        <v>1376</v>
      </c>
      <c r="D292" s="135">
        <v>20</v>
      </c>
      <c r="E292" s="75"/>
      <c r="F292" s="74"/>
    </row>
    <row r="293" spans="2:6" s="28" customFormat="1" ht="31.5">
      <c r="B293" s="77" t="s">
        <v>1377</v>
      </c>
      <c r="C293" s="77" t="s">
        <v>1378</v>
      </c>
      <c r="D293" s="135">
        <v>5</v>
      </c>
      <c r="E293" s="75"/>
      <c r="F293" s="74"/>
    </row>
    <row r="294" spans="2:6" s="28" customFormat="1" ht="31.5">
      <c r="B294" s="77" t="s">
        <v>1379</v>
      </c>
      <c r="C294" s="77" t="s">
        <v>1378</v>
      </c>
      <c r="D294" s="135">
        <v>2.5</v>
      </c>
      <c r="E294" s="75"/>
      <c r="F294" s="74"/>
    </row>
    <row r="295" spans="2:6" s="28" customFormat="1" ht="15.75">
      <c r="B295" s="77" t="s">
        <v>1380</v>
      </c>
      <c r="C295" s="77" t="s">
        <v>1381</v>
      </c>
      <c r="D295" s="135">
        <v>8</v>
      </c>
      <c r="E295" s="75"/>
      <c r="F295" s="74"/>
    </row>
    <row r="296" spans="2:6" s="28" customFormat="1" ht="15.75">
      <c r="B296" s="77" t="s">
        <v>1382</v>
      </c>
      <c r="C296" s="77" t="s">
        <v>1383</v>
      </c>
      <c r="D296" s="135">
        <v>7.52</v>
      </c>
      <c r="E296" s="75"/>
      <c r="F296" s="74"/>
    </row>
    <row r="297" spans="2:6" s="28" customFormat="1" ht="15.75" hidden="1">
      <c r="B297" s="77" t="s">
        <v>1384</v>
      </c>
      <c r="C297" s="77" t="s">
        <v>1385</v>
      </c>
      <c r="D297" s="135">
        <v>30.02</v>
      </c>
      <c r="E297" s="75"/>
      <c r="F297" s="74"/>
    </row>
    <row r="298" spans="2:6" s="28" customFormat="1" ht="31.5">
      <c r="B298" s="77" t="s">
        <v>1371</v>
      </c>
      <c r="C298" s="77" t="s">
        <v>1372</v>
      </c>
      <c r="D298" s="135">
        <v>48.94737</v>
      </c>
      <c r="E298" s="75"/>
      <c r="F298" s="74"/>
    </row>
    <row r="299" spans="2:6" s="28" customFormat="1" ht="15.75">
      <c r="B299" s="77" t="s">
        <v>1386</v>
      </c>
      <c r="C299" s="77" t="s">
        <v>1387</v>
      </c>
      <c r="D299" s="135">
        <v>0.528</v>
      </c>
      <c r="E299" s="75"/>
      <c r="F299" s="74"/>
    </row>
    <row r="300" spans="2:6" s="28" customFormat="1" ht="15.75" hidden="1">
      <c r="B300" s="77" t="s">
        <v>1384</v>
      </c>
      <c r="C300" s="77" t="s">
        <v>1388</v>
      </c>
      <c r="D300" s="135">
        <v>9.12027</v>
      </c>
      <c r="E300" s="75"/>
      <c r="F300" s="74"/>
    </row>
    <row r="301" spans="2:6" s="28" customFormat="1" ht="32.25" customHeight="1">
      <c r="B301" s="77" t="s">
        <v>1389</v>
      </c>
      <c r="C301" s="77" t="s">
        <v>1390</v>
      </c>
      <c r="D301" s="135">
        <v>2</v>
      </c>
      <c r="E301" s="75"/>
      <c r="F301" s="74"/>
    </row>
    <row r="302" spans="2:6" s="28" customFormat="1" ht="15.75">
      <c r="B302" s="77" t="s">
        <v>1391</v>
      </c>
      <c r="C302" s="77" t="s">
        <v>1360</v>
      </c>
      <c r="D302" s="135">
        <v>10.9</v>
      </c>
      <c r="E302" s="75"/>
      <c r="F302" s="74"/>
    </row>
    <row r="303" spans="2:6" s="28" customFormat="1" ht="22.5" customHeight="1">
      <c r="B303" s="77" t="s">
        <v>1392</v>
      </c>
      <c r="C303" s="77" t="s">
        <v>1350</v>
      </c>
      <c r="D303" s="135">
        <v>0.18</v>
      </c>
      <c r="E303" s="75"/>
      <c r="F303" s="74"/>
    </row>
    <row r="304" spans="2:6" s="28" customFormat="1" ht="15.75">
      <c r="B304" s="77" t="s">
        <v>1393</v>
      </c>
      <c r="C304" s="77" t="s">
        <v>1394</v>
      </c>
      <c r="D304" s="135">
        <v>0.378</v>
      </c>
      <c r="E304" s="75"/>
      <c r="F304" s="74"/>
    </row>
    <row r="305" spans="2:6" s="28" customFormat="1" ht="15.75">
      <c r="B305" s="77" t="s">
        <v>1382</v>
      </c>
      <c r="C305" s="77" t="s">
        <v>1383</v>
      </c>
      <c r="D305" s="135">
        <v>10.6</v>
      </c>
      <c r="E305" s="75"/>
      <c r="F305" s="74"/>
    </row>
    <row r="306" spans="2:6" s="28" customFormat="1" ht="38.25" customHeight="1">
      <c r="B306" s="77" t="s">
        <v>1395</v>
      </c>
      <c r="C306" s="77" t="s">
        <v>1372</v>
      </c>
      <c r="D306" s="135">
        <v>76.68</v>
      </c>
      <c r="E306" s="75"/>
      <c r="F306" s="74"/>
    </row>
    <row r="307" spans="2:6" s="28" customFormat="1" ht="15.75">
      <c r="B307" s="77" t="s">
        <v>1396</v>
      </c>
      <c r="C307" s="77" t="s">
        <v>1383</v>
      </c>
      <c r="D307" s="135">
        <v>6.05</v>
      </c>
      <c r="E307" s="75"/>
      <c r="F307" s="74"/>
    </row>
    <row r="308" spans="2:6" s="28" customFormat="1" ht="15.75">
      <c r="B308" s="77" t="s">
        <v>1397</v>
      </c>
      <c r="C308" s="77" t="s">
        <v>1398</v>
      </c>
      <c r="D308" s="135">
        <v>5.7</v>
      </c>
      <c r="E308" s="75"/>
      <c r="F308" s="74"/>
    </row>
    <row r="309" spans="2:6" s="28" customFormat="1" ht="14.25" customHeight="1">
      <c r="B309" s="77" t="s">
        <v>1392</v>
      </c>
      <c r="C309" s="77" t="s">
        <v>1350</v>
      </c>
      <c r="D309" s="135">
        <v>0.54</v>
      </c>
      <c r="E309" s="75"/>
      <c r="F309" s="74"/>
    </row>
    <row r="310" spans="2:6" s="28" customFormat="1" ht="31.5">
      <c r="B310" s="77" t="s">
        <v>1399</v>
      </c>
      <c r="C310" s="77" t="s">
        <v>1400</v>
      </c>
      <c r="D310" s="135">
        <v>4.076</v>
      </c>
      <c r="E310" s="75"/>
      <c r="F310" s="74"/>
    </row>
    <row r="311" spans="2:6" s="28" customFormat="1" ht="15.75">
      <c r="B311" s="21" t="s">
        <v>1429</v>
      </c>
      <c r="C311" s="21"/>
      <c r="D311" s="141">
        <f>SUM(D285:D310)</f>
        <v>493.75226</v>
      </c>
      <c r="E311" s="75"/>
      <c r="F311" s="74"/>
    </row>
    <row r="312" spans="2:6" ht="18.75">
      <c r="B312" s="277" t="s">
        <v>1449</v>
      </c>
      <c r="C312" s="277"/>
      <c r="D312" s="277"/>
      <c r="E312" s="277"/>
      <c r="F312" s="45"/>
    </row>
    <row r="313" spans="2:6" s="28" customFormat="1" ht="15.75">
      <c r="B313" s="20" t="s">
        <v>1430</v>
      </c>
      <c r="C313" s="20" t="s">
        <v>1431</v>
      </c>
      <c r="D313" s="130">
        <v>97.8</v>
      </c>
      <c r="E313" s="75"/>
      <c r="F313" s="74"/>
    </row>
    <row r="314" spans="2:6" s="28" customFormat="1" ht="15.75" hidden="1">
      <c r="B314" s="20" t="s">
        <v>1045</v>
      </c>
      <c r="C314" s="20" t="s">
        <v>1432</v>
      </c>
      <c r="D314" s="130">
        <v>3.198</v>
      </c>
      <c r="E314" s="75"/>
      <c r="F314" s="74"/>
    </row>
    <row r="315" spans="2:6" s="28" customFormat="1" ht="15.75">
      <c r="B315" s="20" t="s">
        <v>1433</v>
      </c>
      <c r="C315" s="20" t="s">
        <v>1434</v>
      </c>
      <c r="D315" s="130">
        <v>1.677</v>
      </c>
      <c r="E315" s="75"/>
      <c r="F315" s="74"/>
    </row>
    <row r="316" spans="2:6" s="28" customFormat="1" ht="15.75">
      <c r="B316" s="20" t="s">
        <v>1435</v>
      </c>
      <c r="C316" s="20" t="s">
        <v>1436</v>
      </c>
      <c r="D316" s="130">
        <v>0.69</v>
      </c>
      <c r="E316" s="75"/>
      <c r="F316" s="74"/>
    </row>
    <row r="317" spans="2:6" s="28" customFormat="1" ht="31.5" customHeight="1">
      <c r="B317" s="20" t="s">
        <v>1437</v>
      </c>
      <c r="C317" s="20" t="s">
        <v>1438</v>
      </c>
      <c r="D317" s="130">
        <v>0.52</v>
      </c>
      <c r="E317" s="75"/>
      <c r="F317" s="74"/>
    </row>
    <row r="318" spans="2:6" s="28" customFormat="1" ht="15.75">
      <c r="B318" s="20" t="s">
        <v>1439</v>
      </c>
      <c r="C318" s="20" t="s">
        <v>1440</v>
      </c>
      <c r="D318" s="130">
        <v>0.8</v>
      </c>
      <c r="E318" s="75"/>
      <c r="F318" s="74"/>
    </row>
    <row r="319" spans="2:6" s="28" customFormat="1" ht="15.75">
      <c r="B319" s="20" t="s">
        <v>1441</v>
      </c>
      <c r="C319" s="20" t="s">
        <v>1442</v>
      </c>
      <c r="D319" s="130">
        <v>0.751</v>
      </c>
      <c r="E319" s="75"/>
      <c r="F319" s="74"/>
    </row>
    <row r="320" spans="2:6" s="28" customFormat="1" ht="15.75" hidden="1">
      <c r="B320" s="20" t="s">
        <v>1443</v>
      </c>
      <c r="C320" s="20" t="s">
        <v>1444</v>
      </c>
      <c r="D320" s="130">
        <v>12.549</v>
      </c>
      <c r="E320" s="75"/>
      <c r="F320" s="74"/>
    </row>
    <row r="321" spans="2:6" s="28" customFormat="1" ht="31.5">
      <c r="B321" s="20" t="s">
        <v>1445</v>
      </c>
      <c r="C321" s="20" t="s">
        <v>1446</v>
      </c>
      <c r="D321" s="130">
        <v>15</v>
      </c>
      <c r="E321" s="75"/>
      <c r="F321" s="74"/>
    </row>
    <row r="322" spans="2:6" s="28" customFormat="1" ht="18.75" customHeight="1" hidden="1">
      <c r="B322" s="20" t="s">
        <v>1447</v>
      </c>
      <c r="C322" s="20" t="s">
        <v>1448</v>
      </c>
      <c r="D322" s="130">
        <v>2</v>
      </c>
      <c r="E322" s="75"/>
      <c r="F322" s="74"/>
    </row>
    <row r="323" spans="2:6" s="28" customFormat="1" ht="15.75" hidden="1">
      <c r="B323" s="20" t="s">
        <v>1429</v>
      </c>
      <c r="C323" s="20"/>
      <c r="D323" s="52">
        <v>134.985</v>
      </c>
      <c r="E323" s="75"/>
      <c r="F323" s="74"/>
    </row>
    <row r="324" spans="2:6" s="28" customFormat="1" ht="15.75">
      <c r="B324" s="20"/>
      <c r="C324" s="20"/>
      <c r="D324" s="52"/>
      <c r="E324" s="75"/>
      <c r="F324" s="74"/>
    </row>
    <row r="325" spans="2:6" s="28" customFormat="1" ht="15.75">
      <c r="B325" s="230" t="s">
        <v>240</v>
      </c>
      <c r="C325" s="230"/>
      <c r="D325" s="230"/>
      <c r="E325" s="230"/>
      <c r="F325" s="74"/>
    </row>
    <row r="326" spans="2:6" s="28" customFormat="1" ht="15.75">
      <c r="B326" s="102" t="s">
        <v>241</v>
      </c>
      <c r="C326" s="177" t="s">
        <v>242</v>
      </c>
      <c r="D326" s="11">
        <f>1189/1000</f>
        <v>1.189</v>
      </c>
      <c r="E326" s="11"/>
      <c r="F326" s="74"/>
    </row>
    <row r="327" spans="2:6" s="28" customFormat="1" ht="15.75">
      <c r="B327" s="162" t="s">
        <v>243</v>
      </c>
      <c r="C327" s="160" t="s">
        <v>244</v>
      </c>
      <c r="D327" s="189">
        <f>3000/1000</f>
        <v>3</v>
      </c>
      <c r="E327" s="11"/>
      <c r="F327" s="74"/>
    </row>
    <row r="328" spans="2:6" s="28" customFormat="1" ht="15.75">
      <c r="B328" s="102" t="s">
        <v>245</v>
      </c>
      <c r="C328" s="171" t="s">
        <v>246</v>
      </c>
      <c r="D328" s="189">
        <f>3260/1000</f>
        <v>3.26</v>
      </c>
      <c r="E328" s="11"/>
      <c r="F328" s="74"/>
    </row>
    <row r="329" spans="2:6" s="28" customFormat="1" ht="15.75">
      <c r="B329" s="102" t="s">
        <v>247</v>
      </c>
      <c r="C329" s="171" t="s">
        <v>248</v>
      </c>
      <c r="D329" s="189">
        <f>2400/1000</f>
        <v>2.4</v>
      </c>
      <c r="E329" s="11"/>
      <c r="F329" s="74"/>
    </row>
    <row r="330" spans="2:6" s="28" customFormat="1" ht="15.75">
      <c r="B330" s="102" t="s">
        <v>249</v>
      </c>
      <c r="C330" s="171" t="s">
        <v>248</v>
      </c>
      <c r="D330" s="189">
        <f>10800/1000</f>
        <v>10.8</v>
      </c>
      <c r="E330" s="11"/>
      <c r="F330" s="74"/>
    </row>
    <row r="331" spans="2:6" s="28" customFormat="1" ht="15.75" hidden="1">
      <c r="B331" s="102" t="s">
        <v>250</v>
      </c>
      <c r="C331" s="171" t="s">
        <v>251</v>
      </c>
      <c r="D331" s="189">
        <f>672/1000</f>
        <v>0.672</v>
      </c>
      <c r="E331" s="11"/>
      <c r="F331" s="74"/>
    </row>
    <row r="332" spans="2:6" s="28" customFormat="1" ht="18.75" customHeight="1">
      <c r="B332" s="102" t="s">
        <v>252</v>
      </c>
      <c r="C332" s="171" t="s">
        <v>253</v>
      </c>
      <c r="D332" s="189">
        <f>10000/1000</f>
        <v>10</v>
      </c>
      <c r="E332" s="11"/>
      <c r="F332" s="74"/>
    </row>
    <row r="333" spans="2:6" s="28" customFormat="1" ht="15.75">
      <c r="B333" s="102" t="s">
        <v>254</v>
      </c>
      <c r="C333" s="171" t="s">
        <v>255</v>
      </c>
      <c r="D333" s="189">
        <f>85000/1000</f>
        <v>85</v>
      </c>
      <c r="E333" s="11"/>
      <c r="F333" s="74"/>
    </row>
    <row r="334" spans="2:6" s="28" customFormat="1" ht="19.5" customHeight="1">
      <c r="B334" s="103" t="s">
        <v>256</v>
      </c>
      <c r="C334" s="171" t="s">
        <v>179</v>
      </c>
      <c r="D334" s="190">
        <f>419.39/1000</f>
        <v>0.41939</v>
      </c>
      <c r="E334" s="11"/>
      <c r="F334" s="74"/>
    </row>
    <row r="335" spans="2:6" s="28" customFormat="1" ht="19.5" customHeight="1">
      <c r="B335" s="103" t="s">
        <v>257</v>
      </c>
      <c r="C335" s="171" t="s">
        <v>258</v>
      </c>
      <c r="D335" s="140">
        <f>15000/1000</f>
        <v>15</v>
      </c>
      <c r="E335" s="11"/>
      <c r="F335" s="74"/>
    </row>
    <row r="336" spans="2:6" s="28" customFormat="1" ht="15.75">
      <c r="B336" s="179" t="s">
        <v>208</v>
      </c>
      <c r="C336" s="11"/>
      <c r="D336" s="191">
        <f>SUM(D326:D335)</f>
        <v>131.74039</v>
      </c>
      <c r="E336" s="11"/>
      <c r="F336" s="74"/>
    </row>
    <row r="337" spans="2:6" s="28" customFormat="1" ht="15.75">
      <c r="B337" s="278" t="s">
        <v>201</v>
      </c>
      <c r="C337" s="279"/>
      <c r="D337" s="279"/>
      <c r="E337" s="280"/>
      <c r="F337" s="74"/>
    </row>
    <row r="338" spans="2:6" s="28" customFormat="1" ht="15.75">
      <c r="B338" s="102" t="s">
        <v>241</v>
      </c>
      <c r="C338" s="102" t="s">
        <v>242</v>
      </c>
      <c r="D338" s="212">
        <f>(60.15+60.59+67.89+64.89+67.39+64.47+68.34+68.35+57.93+68.84+98.79+74.51+1200)/1000</f>
        <v>2.02214</v>
      </c>
      <c r="E338" s="192"/>
      <c r="F338" s="74"/>
    </row>
    <row r="339" spans="2:6" s="28" customFormat="1" ht="15.75">
      <c r="B339" s="102" t="s">
        <v>259</v>
      </c>
      <c r="C339" s="102" t="s">
        <v>260</v>
      </c>
      <c r="D339" s="212">
        <f>(300+200+300+300+300+300+300+300+300+750+780+2500)/1000</f>
        <v>6.63</v>
      </c>
      <c r="E339" s="192"/>
      <c r="F339" s="74"/>
    </row>
    <row r="340" spans="2:6" s="28" customFormat="1" ht="15.75">
      <c r="B340" s="102" t="s">
        <v>261</v>
      </c>
      <c r="C340" s="102" t="s">
        <v>262</v>
      </c>
      <c r="D340" s="212">
        <f>(1060+1060+1060+1060+1060+1060+1060+1060+1060+1060+1060+1060)/1000</f>
        <v>12.72</v>
      </c>
      <c r="E340" s="192"/>
      <c r="F340" s="74"/>
    </row>
    <row r="341" spans="2:6" s="28" customFormat="1" ht="15.75" hidden="1">
      <c r="B341" s="102" t="s">
        <v>263</v>
      </c>
      <c r="C341" s="102" t="s">
        <v>264</v>
      </c>
      <c r="D341" s="140">
        <f>3241.56/1000</f>
        <v>3.2415599999999998</v>
      </c>
      <c r="E341" s="193"/>
      <c r="F341" s="74"/>
    </row>
    <row r="342" spans="2:6" s="28" customFormat="1" ht="15.75">
      <c r="B342" s="102" t="s">
        <v>265</v>
      </c>
      <c r="C342" s="102" t="s">
        <v>266</v>
      </c>
      <c r="D342" s="212">
        <f>(450+450+450+450+450+450+450+450+450+450+450+450)/1000</f>
        <v>5.4</v>
      </c>
      <c r="E342" s="192"/>
      <c r="F342" s="74"/>
    </row>
    <row r="343" spans="2:6" s="28" customFormat="1" ht="15.75">
      <c r="B343" s="102" t="s">
        <v>267</v>
      </c>
      <c r="C343" s="102" t="s">
        <v>268</v>
      </c>
      <c r="D343" s="212">
        <f>(3500+350+350)/1000</f>
        <v>4.2</v>
      </c>
      <c r="E343" s="192"/>
      <c r="F343" s="74"/>
    </row>
    <row r="344" spans="2:6" s="28" customFormat="1" ht="31.5">
      <c r="B344" s="100" t="s">
        <v>269</v>
      </c>
      <c r="C344" s="102" t="s">
        <v>270</v>
      </c>
      <c r="D344" s="200">
        <f>670/1000</f>
        <v>0.67</v>
      </c>
      <c r="E344" s="164"/>
      <c r="F344" s="74"/>
    </row>
    <row r="345" spans="2:6" s="28" customFormat="1" ht="15.75">
      <c r="B345" s="102" t="s">
        <v>271</v>
      </c>
      <c r="C345" s="102" t="s">
        <v>272</v>
      </c>
      <c r="D345" s="200">
        <f>(5120+1854)/1000</f>
        <v>6.974</v>
      </c>
      <c r="E345" s="164"/>
      <c r="F345" s="74"/>
    </row>
    <row r="346" spans="2:6" s="28" customFormat="1" ht="15.75">
      <c r="B346" s="102" t="s">
        <v>273</v>
      </c>
      <c r="C346" s="102" t="s">
        <v>274</v>
      </c>
      <c r="D346" s="200">
        <f>1560/1000</f>
        <v>1.56</v>
      </c>
      <c r="E346" s="164"/>
      <c r="F346" s="74"/>
    </row>
    <row r="347" spans="2:6" s="28" customFormat="1" ht="15.75">
      <c r="B347" s="102" t="s">
        <v>275</v>
      </c>
      <c r="C347" s="102" t="s">
        <v>276</v>
      </c>
      <c r="D347" s="200">
        <f>9990/1000</f>
        <v>9.99</v>
      </c>
      <c r="E347" s="164"/>
      <c r="F347" s="74"/>
    </row>
    <row r="348" spans="2:6" s="28" customFormat="1" ht="15.75">
      <c r="B348" s="102" t="s">
        <v>277</v>
      </c>
      <c r="C348" s="102" t="s">
        <v>278</v>
      </c>
      <c r="D348" s="200">
        <f>1999.57/1000</f>
        <v>1.9995699999999998</v>
      </c>
      <c r="E348" s="164"/>
      <c r="F348" s="74"/>
    </row>
    <row r="349" spans="2:6" s="28" customFormat="1" ht="15.75" hidden="1">
      <c r="B349" s="179" t="s">
        <v>208</v>
      </c>
      <c r="C349" s="102"/>
      <c r="D349" s="201">
        <f>SUM(D338:D348)</f>
        <v>55.40727000000001</v>
      </c>
      <c r="E349" s="92"/>
      <c r="F349" s="74"/>
    </row>
    <row r="350" spans="2:6" s="28" customFormat="1" ht="15.75">
      <c r="B350" s="278" t="s">
        <v>217</v>
      </c>
      <c r="C350" s="279"/>
      <c r="D350" s="279"/>
      <c r="E350" s="280"/>
      <c r="F350" s="74"/>
    </row>
    <row r="351" spans="2:6" s="28" customFormat="1" ht="15.75">
      <c r="B351" s="102" t="s">
        <v>259</v>
      </c>
      <c r="C351" s="102" t="s">
        <v>260</v>
      </c>
      <c r="D351" s="140">
        <f>800/1000</f>
        <v>0.8</v>
      </c>
      <c r="E351" s="102"/>
      <c r="F351" s="74"/>
    </row>
    <row r="352" spans="2:6" s="28" customFormat="1" ht="15.75">
      <c r="B352" s="102" t="s">
        <v>279</v>
      </c>
      <c r="C352" s="102" t="s">
        <v>260</v>
      </c>
      <c r="D352" s="140">
        <f>320/1000</f>
        <v>0.32</v>
      </c>
      <c r="E352" s="102"/>
      <c r="F352" s="74"/>
    </row>
    <row r="353" spans="2:6" s="28" customFormat="1" ht="15.75" hidden="1">
      <c r="B353" s="102" t="s">
        <v>280</v>
      </c>
      <c r="C353" s="102" t="s">
        <v>281</v>
      </c>
      <c r="D353" s="140">
        <f>1304.58/1000</f>
        <v>1.3045799999999999</v>
      </c>
      <c r="E353" s="102"/>
      <c r="F353" s="74"/>
    </row>
    <row r="354" spans="2:6" s="28" customFormat="1" ht="15.75">
      <c r="B354" s="102" t="s">
        <v>282</v>
      </c>
      <c r="C354" s="160" t="s">
        <v>283</v>
      </c>
      <c r="D354" s="200">
        <f>248.62/1000</f>
        <v>0.24862</v>
      </c>
      <c r="E354" s="164"/>
      <c r="F354" s="74"/>
    </row>
    <row r="355" spans="2:6" s="28" customFormat="1" ht="31.5">
      <c r="B355" s="162" t="s">
        <v>284</v>
      </c>
      <c r="C355" s="160" t="s">
        <v>285</v>
      </c>
      <c r="D355" s="200">
        <f>1399.98/1000</f>
        <v>1.39998</v>
      </c>
      <c r="E355" s="164"/>
      <c r="F355" s="74"/>
    </row>
    <row r="356" spans="2:6" s="28" customFormat="1" ht="15.75">
      <c r="B356" s="102" t="s">
        <v>265</v>
      </c>
      <c r="C356" s="102" t="s">
        <v>266</v>
      </c>
      <c r="D356" s="140">
        <f>4800/1000</f>
        <v>4.8</v>
      </c>
      <c r="E356" s="102"/>
      <c r="F356" s="74"/>
    </row>
    <row r="357" spans="2:6" s="28" customFormat="1" ht="15.75">
      <c r="B357" s="102" t="s">
        <v>286</v>
      </c>
      <c r="C357" s="102" t="s">
        <v>287</v>
      </c>
      <c r="D357" s="140">
        <f>6200/1000</f>
        <v>6.2</v>
      </c>
      <c r="E357" s="102"/>
      <c r="F357" s="74"/>
    </row>
    <row r="358" spans="2:6" s="28" customFormat="1" ht="15.75">
      <c r="B358" s="102" t="s">
        <v>288</v>
      </c>
      <c r="C358" s="160" t="s">
        <v>289</v>
      </c>
      <c r="D358" s="200">
        <f>500/1000</f>
        <v>0.5</v>
      </c>
      <c r="E358" s="164"/>
      <c r="F358" s="74"/>
    </row>
    <row r="359" spans="2:6" s="28" customFormat="1" ht="15.75">
      <c r="B359" s="102" t="s">
        <v>290</v>
      </c>
      <c r="C359" s="160" t="s">
        <v>291</v>
      </c>
      <c r="D359" s="200">
        <f>393.41/1000</f>
        <v>0.39341000000000004</v>
      </c>
      <c r="E359" s="164"/>
      <c r="F359" s="74"/>
    </row>
    <row r="360" spans="2:6" s="28" customFormat="1" ht="15.75">
      <c r="B360" s="102" t="s">
        <v>292</v>
      </c>
      <c r="C360" s="160" t="s">
        <v>291</v>
      </c>
      <c r="D360" s="200">
        <f>886.34/1000</f>
        <v>0.88634</v>
      </c>
      <c r="E360" s="164"/>
      <c r="F360" s="74"/>
    </row>
    <row r="361" spans="2:6" s="28" customFormat="1" ht="15.75">
      <c r="B361" s="102" t="s">
        <v>293</v>
      </c>
      <c r="C361" s="160" t="s">
        <v>294</v>
      </c>
      <c r="D361" s="200">
        <f>500/1000</f>
        <v>0.5</v>
      </c>
      <c r="E361" s="164"/>
      <c r="F361" s="74"/>
    </row>
    <row r="362" spans="2:6" s="28" customFormat="1" ht="15.75">
      <c r="B362" s="179" t="s">
        <v>208</v>
      </c>
      <c r="C362" s="102"/>
      <c r="D362" s="201">
        <f>SUM(D351:D361)</f>
        <v>17.35293</v>
      </c>
      <c r="E362" s="92"/>
      <c r="F362" s="74"/>
    </row>
    <row r="363" spans="2:6" s="28" customFormat="1" ht="15.75">
      <c r="B363" s="278" t="s">
        <v>40</v>
      </c>
      <c r="C363" s="279"/>
      <c r="D363" s="279"/>
      <c r="E363" s="280"/>
      <c r="F363" s="74"/>
    </row>
    <row r="364" spans="2:6" s="28" customFormat="1" ht="15.75">
      <c r="B364" s="102" t="s">
        <v>295</v>
      </c>
      <c r="C364" s="102" t="s">
        <v>296</v>
      </c>
      <c r="D364" s="200">
        <f>700/1000</f>
        <v>0.7</v>
      </c>
      <c r="E364" s="164"/>
      <c r="F364" s="74"/>
    </row>
    <row r="365" spans="2:6" s="28" customFormat="1" ht="15.75">
      <c r="B365" s="102" t="s">
        <v>297</v>
      </c>
      <c r="C365" s="102" t="s">
        <v>260</v>
      </c>
      <c r="D365" s="140">
        <f>600/1000</f>
        <v>0.6</v>
      </c>
      <c r="E365" s="102"/>
      <c r="F365" s="74"/>
    </row>
    <row r="366" spans="2:6" s="28" customFormat="1" ht="15.75">
      <c r="B366" s="179" t="s">
        <v>208</v>
      </c>
      <c r="C366" s="102"/>
      <c r="D366" s="201">
        <f>SUM(D364:D365)</f>
        <v>1.2999999999999998</v>
      </c>
      <c r="E366" s="187"/>
      <c r="F366" s="74"/>
    </row>
    <row r="367" spans="2:6" s="28" customFormat="1" ht="15.75">
      <c r="B367" s="278" t="s">
        <v>47</v>
      </c>
      <c r="C367" s="279"/>
      <c r="D367" s="279"/>
      <c r="E367" s="280"/>
      <c r="F367" s="74"/>
    </row>
    <row r="368" spans="2:6" s="28" customFormat="1" ht="15.75">
      <c r="B368" s="102" t="s">
        <v>241</v>
      </c>
      <c r="C368" s="102" t="s">
        <v>242</v>
      </c>
      <c r="D368" s="140">
        <f>2022.14/1000</f>
        <v>2.0221400000000003</v>
      </c>
      <c r="E368" s="102"/>
      <c r="F368" s="74"/>
    </row>
    <row r="369" spans="2:6" s="28" customFormat="1" ht="15.75">
      <c r="B369" s="102" t="s">
        <v>298</v>
      </c>
      <c r="C369" s="102" t="s">
        <v>299</v>
      </c>
      <c r="D369" s="140">
        <f>81984/1000</f>
        <v>81.984</v>
      </c>
      <c r="E369" s="194"/>
      <c r="F369" s="74"/>
    </row>
    <row r="370" spans="2:6" s="28" customFormat="1" ht="15.75">
      <c r="B370" s="102" t="s">
        <v>300</v>
      </c>
      <c r="C370" s="102" t="s">
        <v>301</v>
      </c>
      <c r="D370" s="140">
        <f>3284.22/1000</f>
        <v>3.28422</v>
      </c>
      <c r="E370" s="194"/>
      <c r="F370" s="74"/>
    </row>
    <row r="371" spans="2:6" s="28" customFormat="1" ht="15.75" hidden="1">
      <c r="B371" s="102" t="s">
        <v>263</v>
      </c>
      <c r="C371" s="102" t="s">
        <v>302</v>
      </c>
      <c r="D371" s="140">
        <f>674.16/1000</f>
        <v>0.67416</v>
      </c>
      <c r="E371" s="194"/>
      <c r="F371" s="74"/>
    </row>
    <row r="372" spans="2:6" s="28" customFormat="1" ht="15.75">
      <c r="B372" s="102" t="s">
        <v>303</v>
      </c>
      <c r="C372" s="102" t="s">
        <v>304</v>
      </c>
      <c r="D372" s="140">
        <f>450.95/1000</f>
        <v>0.45094999999999996</v>
      </c>
      <c r="E372" s="194"/>
      <c r="F372" s="74"/>
    </row>
    <row r="373" spans="2:6" s="28" customFormat="1" ht="15.75">
      <c r="B373" s="102" t="s">
        <v>305</v>
      </c>
      <c r="C373" s="102" t="s">
        <v>306</v>
      </c>
      <c r="D373" s="140">
        <f>1600/1000</f>
        <v>1.6</v>
      </c>
      <c r="E373" s="194"/>
      <c r="F373" s="74"/>
    </row>
    <row r="374" spans="2:6" s="28" customFormat="1" ht="31.5">
      <c r="B374" s="103" t="s">
        <v>307</v>
      </c>
      <c r="C374" s="102" t="s">
        <v>304</v>
      </c>
      <c r="D374" s="140">
        <f>317.45/1000</f>
        <v>0.31745</v>
      </c>
      <c r="E374" s="194"/>
      <c r="F374" s="74"/>
    </row>
    <row r="375" spans="2:6" s="28" customFormat="1" ht="15.75">
      <c r="B375" s="102" t="s">
        <v>308</v>
      </c>
      <c r="C375" s="102" t="s">
        <v>309</v>
      </c>
      <c r="D375" s="140">
        <f>822/1000</f>
        <v>0.822</v>
      </c>
      <c r="E375" s="194"/>
      <c r="F375" s="74"/>
    </row>
    <row r="376" spans="2:6" s="28" customFormat="1" ht="15.75">
      <c r="B376" s="102" t="s">
        <v>310</v>
      </c>
      <c r="C376" s="102" t="s">
        <v>311</v>
      </c>
      <c r="D376" s="140">
        <f>3120/1000</f>
        <v>3.12</v>
      </c>
      <c r="E376" s="102"/>
      <c r="F376" s="74"/>
    </row>
    <row r="377" spans="2:6" s="28" customFormat="1" ht="15.75">
      <c r="B377" s="102" t="s">
        <v>312</v>
      </c>
      <c r="C377" s="102" t="s">
        <v>304</v>
      </c>
      <c r="D377" s="200">
        <f>108/1000</f>
        <v>0.108</v>
      </c>
      <c r="E377" s="164"/>
      <c r="F377" s="74"/>
    </row>
    <row r="378" spans="2:6" s="28" customFormat="1" ht="15.75">
      <c r="B378" s="102" t="s">
        <v>313</v>
      </c>
      <c r="C378" s="102" t="s">
        <v>314</v>
      </c>
      <c r="D378" s="140">
        <f>2080.94/1000</f>
        <v>2.08094</v>
      </c>
      <c r="E378" s="102"/>
      <c r="F378" s="74"/>
    </row>
    <row r="379" spans="2:6" s="28" customFormat="1" ht="15.75">
      <c r="B379" s="179" t="s">
        <v>208</v>
      </c>
      <c r="C379" s="102"/>
      <c r="D379" s="201">
        <f>SUM(D368:D378)</f>
        <v>96.46386</v>
      </c>
      <c r="E379" s="92"/>
      <c r="F379" s="74"/>
    </row>
    <row r="380" spans="2:6" s="28" customFormat="1" ht="15.75">
      <c r="B380" s="278" t="s">
        <v>50</v>
      </c>
      <c r="C380" s="279"/>
      <c r="D380" s="279"/>
      <c r="E380" s="280"/>
      <c r="F380" s="74"/>
    </row>
    <row r="381" spans="2:6" s="28" customFormat="1" ht="15.75">
      <c r="B381" s="102" t="s">
        <v>315</v>
      </c>
      <c r="C381" s="102" t="s">
        <v>316</v>
      </c>
      <c r="D381" s="140">
        <f>5400/1000</f>
        <v>5.4</v>
      </c>
      <c r="E381" s="102"/>
      <c r="F381" s="74"/>
    </row>
    <row r="382" spans="2:6" s="28" customFormat="1" ht="15.75">
      <c r="B382" s="102" t="s">
        <v>241</v>
      </c>
      <c r="C382" s="102" t="s">
        <v>242</v>
      </c>
      <c r="D382" s="140">
        <f>2022.14/1000</f>
        <v>2.0221400000000003</v>
      </c>
      <c r="E382" s="102"/>
      <c r="F382" s="74"/>
    </row>
    <row r="383" spans="2:6" s="28" customFormat="1" ht="15.75">
      <c r="B383" s="102" t="s">
        <v>261</v>
      </c>
      <c r="C383" s="102" t="s">
        <v>262</v>
      </c>
      <c r="D383" s="140">
        <f>3600/1000</f>
        <v>3.6</v>
      </c>
      <c r="E383" s="102"/>
      <c r="F383" s="74"/>
    </row>
    <row r="384" spans="2:6" s="28" customFormat="1" ht="15.75">
      <c r="B384" s="102" t="s">
        <v>317</v>
      </c>
      <c r="C384" s="102" t="s">
        <v>318</v>
      </c>
      <c r="D384" s="140">
        <f>4409.52/1000</f>
        <v>4.4095200000000006</v>
      </c>
      <c r="E384" s="102"/>
      <c r="F384" s="74"/>
    </row>
    <row r="385" spans="2:6" s="28" customFormat="1" ht="15.75" hidden="1">
      <c r="B385" s="102" t="s">
        <v>263</v>
      </c>
      <c r="C385" s="102" t="s">
        <v>319</v>
      </c>
      <c r="D385" s="140">
        <f>504.24/1000</f>
        <v>0.50424</v>
      </c>
      <c r="E385" s="102"/>
      <c r="F385" s="74"/>
    </row>
    <row r="386" spans="2:6" s="28" customFormat="1" ht="15.75">
      <c r="B386" s="102" t="s">
        <v>867</v>
      </c>
      <c r="C386" s="102" t="s">
        <v>320</v>
      </c>
      <c r="D386" s="140">
        <f>612/1000</f>
        <v>0.612</v>
      </c>
      <c r="E386" s="102"/>
      <c r="F386" s="74"/>
    </row>
    <row r="387" spans="2:6" s="28" customFormat="1" ht="15.75">
      <c r="B387" s="102" t="s">
        <v>321</v>
      </c>
      <c r="C387" s="102" t="s">
        <v>322</v>
      </c>
      <c r="D387" s="140">
        <f>195/1000</f>
        <v>0.195</v>
      </c>
      <c r="E387" s="102"/>
      <c r="F387" s="74"/>
    </row>
    <row r="388" spans="2:6" s="28" customFormat="1" ht="15.75">
      <c r="B388" s="102" t="s">
        <v>323</v>
      </c>
      <c r="C388" s="102" t="s">
        <v>322</v>
      </c>
      <c r="D388" s="140">
        <f>156.6/1000</f>
        <v>0.1566</v>
      </c>
      <c r="E388" s="102"/>
      <c r="F388" s="74"/>
    </row>
    <row r="389" spans="2:6" s="28" customFormat="1" ht="15.75">
      <c r="B389" s="102" t="s">
        <v>267</v>
      </c>
      <c r="C389" s="102" t="s">
        <v>324</v>
      </c>
      <c r="D389" s="140">
        <f>3000/1000</f>
        <v>3</v>
      </c>
      <c r="E389" s="102"/>
      <c r="F389" s="74"/>
    </row>
    <row r="390" spans="2:6" s="28" customFormat="1" ht="15.75">
      <c r="B390" s="102" t="s">
        <v>325</v>
      </c>
      <c r="C390" s="102" t="s">
        <v>326</v>
      </c>
      <c r="D390" s="140">
        <f>884.17/1000</f>
        <v>0.88417</v>
      </c>
      <c r="E390" s="102"/>
      <c r="F390" s="74"/>
    </row>
    <row r="391" spans="2:6" s="28" customFormat="1" ht="15.75">
      <c r="B391" s="102" t="s">
        <v>303</v>
      </c>
      <c r="C391" s="102" t="s">
        <v>326</v>
      </c>
      <c r="D391" s="200">
        <f>279.41/1000</f>
        <v>0.27941000000000005</v>
      </c>
      <c r="E391" s="164"/>
      <c r="F391" s="74"/>
    </row>
    <row r="392" spans="2:6" s="28" customFormat="1" ht="15.75">
      <c r="B392" s="102" t="s">
        <v>305</v>
      </c>
      <c r="C392" s="102" t="s">
        <v>327</v>
      </c>
      <c r="D392" s="140">
        <f>2320/1000</f>
        <v>2.32</v>
      </c>
      <c r="E392" s="102"/>
      <c r="F392" s="74"/>
    </row>
    <row r="393" spans="2:6" s="28" customFormat="1" ht="31.5">
      <c r="B393" s="103" t="s">
        <v>328</v>
      </c>
      <c r="C393" s="102" t="s">
        <v>329</v>
      </c>
      <c r="D393" s="140">
        <f>697.5/1000</f>
        <v>0.6975</v>
      </c>
      <c r="E393" s="102"/>
      <c r="F393" s="74"/>
    </row>
    <row r="394" spans="2:6" s="28" customFormat="1" ht="15.75" customHeight="1">
      <c r="B394" s="103" t="s">
        <v>330</v>
      </c>
      <c r="C394" s="102" t="s">
        <v>304</v>
      </c>
      <c r="D394" s="200">
        <f>276.25/1000</f>
        <v>0.27625</v>
      </c>
      <c r="E394" s="164"/>
      <c r="F394" s="74"/>
    </row>
    <row r="395" spans="2:6" s="28" customFormat="1" ht="31.5">
      <c r="B395" s="103" t="s">
        <v>331</v>
      </c>
      <c r="C395" s="102" t="s">
        <v>304</v>
      </c>
      <c r="D395" s="140">
        <f>200.06/1000</f>
        <v>0.20006000000000002</v>
      </c>
      <c r="E395" s="102"/>
      <c r="F395" s="74"/>
    </row>
    <row r="396" spans="2:6" s="28" customFormat="1" ht="15.75">
      <c r="B396" s="195" t="s">
        <v>332</v>
      </c>
      <c r="C396" s="188" t="s">
        <v>333</v>
      </c>
      <c r="D396" s="190">
        <f>1134.5/1000</f>
        <v>1.1345</v>
      </c>
      <c r="E396" s="196"/>
      <c r="F396" s="74"/>
    </row>
    <row r="397" spans="2:6" s="28" customFormat="1" ht="15.75">
      <c r="B397" s="162" t="s">
        <v>334</v>
      </c>
      <c r="C397" s="160" t="s">
        <v>335</v>
      </c>
      <c r="D397" s="140">
        <f>900/1000</f>
        <v>0.9</v>
      </c>
      <c r="E397" s="102"/>
      <c r="F397" s="74"/>
    </row>
    <row r="398" spans="2:6" s="28" customFormat="1" ht="15.75">
      <c r="B398" s="162" t="s">
        <v>334</v>
      </c>
      <c r="C398" s="160" t="s">
        <v>335</v>
      </c>
      <c r="D398" s="140">
        <f>2900/1000</f>
        <v>2.9</v>
      </c>
      <c r="E398" s="102"/>
      <c r="F398" s="74"/>
    </row>
    <row r="399" spans="2:6" s="28" customFormat="1" ht="15.75">
      <c r="B399" s="162" t="s">
        <v>336</v>
      </c>
      <c r="C399" s="160" t="s">
        <v>291</v>
      </c>
      <c r="D399" s="140">
        <f>118.73/1000</f>
        <v>0.11873</v>
      </c>
      <c r="E399" s="102"/>
      <c r="F399" s="74"/>
    </row>
    <row r="400" spans="2:6" s="28" customFormat="1" ht="15.75">
      <c r="B400" s="179" t="s">
        <v>208</v>
      </c>
      <c r="C400" s="102"/>
      <c r="D400" s="201">
        <f>SUM(D381:D399)</f>
        <v>29.61012</v>
      </c>
      <c r="E400" s="92"/>
      <c r="F400" s="74"/>
    </row>
    <row r="401" spans="2:6" s="28" customFormat="1" ht="15.75">
      <c r="B401" s="281" t="s">
        <v>220</v>
      </c>
      <c r="C401" s="282"/>
      <c r="D401" s="282"/>
      <c r="E401" s="283"/>
      <c r="F401" s="74"/>
    </row>
    <row r="402" spans="2:6" s="28" customFormat="1" ht="31.5">
      <c r="B402" s="162" t="s">
        <v>331</v>
      </c>
      <c r="C402" s="160" t="s">
        <v>291</v>
      </c>
      <c r="D402" s="200">
        <f>156.46/1000</f>
        <v>0.15646000000000002</v>
      </c>
      <c r="E402" s="164"/>
      <c r="F402" s="74"/>
    </row>
    <row r="403" spans="2:6" s="28" customFormat="1" ht="15.75" hidden="1">
      <c r="B403" s="162" t="s">
        <v>337</v>
      </c>
      <c r="C403" s="160" t="s">
        <v>338</v>
      </c>
      <c r="D403" s="200">
        <f>1161.6/1000</f>
        <v>1.1616</v>
      </c>
      <c r="E403" s="164"/>
      <c r="F403" s="74"/>
    </row>
    <row r="404" spans="2:6" s="28" customFormat="1" ht="15.75" hidden="1">
      <c r="B404" s="162" t="s">
        <v>339</v>
      </c>
      <c r="C404" s="160" t="s">
        <v>340</v>
      </c>
      <c r="D404" s="200">
        <f>982.8/1000</f>
        <v>0.9828</v>
      </c>
      <c r="E404" s="164"/>
      <c r="F404" s="74"/>
    </row>
    <row r="405" spans="2:6" s="28" customFormat="1" ht="15.75">
      <c r="B405" s="162" t="s">
        <v>341</v>
      </c>
      <c r="C405" s="160" t="s">
        <v>342</v>
      </c>
      <c r="D405" s="200">
        <f>180/1000</f>
        <v>0.18</v>
      </c>
      <c r="E405" s="164"/>
      <c r="F405" s="74"/>
    </row>
    <row r="406" spans="2:6" s="28" customFormat="1" ht="15.75">
      <c r="B406" s="162" t="s">
        <v>343</v>
      </c>
      <c r="C406" s="160" t="s">
        <v>344</v>
      </c>
      <c r="D406" s="200">
        <f>180/1000</f>
        <v>0.18</v>
      </c>
      <c r="E406" s="164"/>
      <c r="F406" s="74"/>
    </row>
    <row r="407" spans="2:6" s="28" customFormat="1" ht="15.75">
      <c r="B407" s="162" t="s">
        <v>345</v>
      </c>
      <c r="C407" s="160" t="s">
        <v>346</v>
      </c>
      <c r="D407" s="200">
        <f>196.79/1000</f>
        <v>0.19679</v>
      </c>
      <c r="E407" s="164"/>
      <c r="F407" s="74"/>
    </row>
    <row r="408" spans="2:6" s="28" customFormat="1" ht="15.75">
      <c r="B408" s="162" t="s">
        <v>347</v>
      </c>
      <c r="C408" s="160" t="s">
        <v>244</v>
      </c>
      <c r="D408" s="200">
        <f>1200/1000</f>
        <v>1.2</v>
      </c>
      <c r="E408" s="164"/>
      <c r="F408" s="74"/>
    </row>
    <row r="409" spans="2:6" s="28" customFormat="1" ht="15.75">
      <c r="B409" s="162" t="s">
        <v>303</v>
      </c>
      <c r="C409" s="160" t="s">
        <v>291</v>
      </c>
      <c r="D409" s="200">
        <f>230.76/1000</f>
        <v>0.23076</v>
      </c>
      <c r="E409" s="164"/>
      <c r="F409" s="74"/>
    </row>
    <row r="410" spans="2:6" s="28" customFormat="1" ht="16.5" customHeight="1">
      <c r="B410" s="162" t="s">
        <v>348</v>
      </c>
      <c r="C410" s="160" t="s">
        <v>349</v>
      </c>
      <c r="D410" s="200">
        <f>306/1000</f>
        <v>0.306</v>
      </c>
      <c r="E410" s="164"/>
      <c r="F410" s="74"/>
    </row>
    <row r="411" spans="2:6" s="28" customFormat="1" ht="15.75">
      <c r="B411" s="162" t="s">
        <v>350</v>
      </c>
      <c r="C411" s="160" t="s">
        <v>349</v>
      </c>
      <c r="D411" s="200">
        <f>314/1000</f>
        <v>0.314</v>
      </c>
      <c r="E411" s="164"/>
      <c r="F411" s="74"/>
    </row>
    <row r="412" spans="2:6" s="28" customFormat="1" ht="16.5" customHeight="1">
      <c r="B412" s="162" t="s">
        <v>351</v>
      </c>
      <c r="C412" s="160" t="s">
        <v>352</v>
      </c>
      <c r="D412" s="200">
        <f>2040/1000</f>
        <v>2.04</v>
      </c>
      <c r="E412" s="164"/>
      <c r="F412" s="74"/>
    </row>
    <row r="413" spans="2:6" s="28" customFormat="1" ht="15.75">
      <c r="B413" s="162" t="s">
        <v>353</v>
      </c>
      <c r="C413" s="160" t="s">
        <v>354</v>
      </c>
      <c r="D413" s="200">
        <f>496.8/1000</f>
        <v>0.4968</v>
      </c>
      <c r="E413" s="164"/>
      <c r="F413" s="74"/>
    </row>
    <row r="414" spans="2:6" s="28" customFormat="1" ht="18.75" customHeight="1">
      <c r="B414" s="162" t="s">
        <v>355</v>
      </c>
      <c r="C414" s="160" t="s">
        <v>344</v>
      </c>
      <c r="D414" s="200">
        <f>525/1000</f>
        <v>0.525</v>
      </c>
      <c r="E414" s="164"/>
      <c r="F414" s="74"/>
    </row>
    <row r="415" spans="2:6" s="28" customFormat="1" ht="31.5">
      <c r="B415" s="162" t="s">
        <v>356</v>
      </c>
      <c r="C415" s="160" t="s">
        <v>357</v>
      </c>
      <c r="D415" s="200">
        <f>760/1000</f>
        <v>0.76</v>
      </c>
      <c r="E415" s="164"/>
      <c r="F415" s="74"/>
    </row>
    <row r="416" spans="2:6" s="28" customFormat="1" ht="15.75">
      <c r="B416" s="162" t="s">
        <v>358</v>
      </c>
      <c r="C416" s="160" t="s">
        <v>359</v>
      </c>
      <c r="D416" s="200">
        <f>9767.24/1000</f>
        <v>9.76724</v>
      </c>
      <c r="E416" s="164"/>
      <c r="F416" s="74"/>
    </row>
    <row r="417" spans="2:6" s="28" customFormat="1" ht="15.75">
      <c r="B417" s="162" t="s">
        <v>360</v>
      </c>
      <c r="C417" s="160" t="s">
        <v>361</v>
      </c>
      <c r="D417" s="200">
        <f>883.15/1000</f>
        <v>0.88315</v>
      </c>
      <c r="E417" s="164"/>
      <c r="F417" s="74"/>
    </row>
    <row r="418" spans="2:6" s="28" customFormat="1" ht="15.75">
      <c r="B418" s="162" t="s">
        <v>362</v>
      </c>
      <c r="C418" s="160" t="s">
        <v>346</v>
      </c>
      <c r="D418" s="200">
        <f>1177.34/1000</f>
        <v>1.1773399999999998</v>
      </c>
      <c r="E418" s="164"/>
      <c r="F418" s="74"/>
    </row>
    <row r="419" spans="2:6" s="28" customFormat="1" ht="15.75" customHeight="1">
      <c r="B419" s="162" t="s">
        <v>256</v>
      </c>
      <c r="C419" s="160" t="s">
        <v>363</v>
      </c>
      <c r="D419" s="200">
        <f>421/1000</f>
        <v>0.421</v>
      </c>
      <c r="E419" s="164"/>
      <c r="F419" s="74"/>
    </row>
    <row r="420" spans="2:6" s="28" customFormat="1" ht="15.75">
      <c r="B420" s="102" t="s">
        <v>364</v>
      </c>
      <c r="C420" s="160" t="s">
        <v>365</v>
      </c>
      <c r="D420" s="200">
        <f>2758/1000</f>
        <v>2.758</v>
      </c>
      <c r="E420" s="102"/>
      <c r="F420" s="74"/>
    </row>
    <row r="421" spans="2:6" s="28" customFormat="1" ht="20.25" customHeight="1">
      <c r="B421" s="162" t="s">
        <v>366</v>
      </c>
      <c r="C421" s="160" t="s">
        <v>367</v>
      </c>
      <c r="D421" s="200">
        <f>(1900.4+3195.6+4904)/1000</f>
        <v>10</v>
      </c>
      <c r="E421" s="164"/>
      <c r="F421" s="74"/>
    </row>
    <row r="422" spans="2:6" s="28" customFormat="1" ht="17.25" customHeight="1">
      <c r="B422" s="162" t="s">
        <v>368</v>
      </c>
      <c r="C422" s="160" t="s">
        <v>369</v>
      </c>
      <c r="D422" s="200">
        <f>1935/1000</f>
        <v>1.935</v>
      </c>
      <c r="E422" s="164"/>
      <c r="F422" s="74"/>
    </row>
    <row r="423" spans="2:6" s="28" customFormat="1" ht="15.75">
      <c r="B423" s="162" t="s">
        <v>370</v>
      </c>
      <c r="C423" s="160" t="s">
        <v>349</v>
      </c>
      <c r="D423" s="200">
        <f>2235/1000</f>
        <v>2.235</v>
      </c>
      <c r="E423" s="164"/>
      <c r="F423" s="74"/>
    </row>
    <row r="424" spans="2:6" s="28" customFormat="1" ht="15.75">
      <c r="B424" s="162" t="s">
        <v>371</v>
      </c>
      <c r="C424" s="160" t="s">
        <v>372</v>
      </c>
      <c r="D424" s="200">
        <f>(2880+1680)/1000</f>
        <v>4.56</v>
      </c>
      <c r="E424" s="164"/>
      <c r="F424" s="74"/>
    </row>
    <row r="425" spans="2:6" s="28" customFormat="1" ht="15.75">
      <c r="B425" s="162" t="s">
        <v>373</v>
      </c>
      <c r="C425" s="160" t="s">
        <v>374</v>
      </c>
      <c r="D425" s="200">
        <f>5100/1000</f>
        <v>5.1</v>
      </c>
      <c r="E425" s="164"/>
      <c r="F425" s="74"/>
    </row>
    <row r="426" spans="2:6" s="28" customFormat="1" ht="15.75">
      <c r="B426" s="162" t="s">
        <v>375</v>
      </c>
      <c r="C426" s="160" t="s">
        <v>365</v>
      </c>
      <c r="D426" s="200">
        <f>11000/1000</f>
        <v>11</v>
      </c>
      <c r="E426" s="164"/>
      <c r="F426" s="74"/>
    </row>
    <row r="427" spans="2:6" s="28" customFormat="1" ht="15.75">
      <c r="B427" s="179" t="s">
        <v>208</v>
      </c>
      <c r="C427" s="102"/>
      <c r="D427" s="201">
        <f>SUM(D402:D426)</f>
        <v>58.56694000000001</v>
      </c>
      <c r="E427" s="92"/>
      <c r="F427" s="74"/>
    </row>
    <row r="428" spans="2:6" s="28" customFormat="1" ht="15.75">
      <c r="B428" s="284" t="s">
        <v>223</v>
      </c>
      <c r="C428" s="285"/>
      <c r="D428" s="285"/>
      <c r="E428" s="286"/>
      <c r="F428" s="74"/>
    </row>
    <row r="429" spans="2:6" s="28" customFormat="1" ht="31.5">
      <c r="B429" s="162" t="s">
        <v>376</v>
      </c>
      <c r="C429" s="160" t="s">
        <v>377</v>
      </c>
      <c r="D429" s="200">
        <f>2887.06/1000</f>
        <v>2.88706</v>
      </c>
      <c r="E429" s="102"/>
      <c r="F429" s="74"/>
    </row>
    <row r="430" spans="2:6" s="28" customFormat="1" ht="15.75">
      <c r="B430" s="162" t="s">
        <v>241</v>
      </c>
      <c r="C430" s="160" t="s">
        <v>359</v>
      </c>
      <c r="D430" s="200">
        <f>2003.24/1000</f>
        <v>2.00324</v>
      </c>
      <c r="E430" s="102"/>
      <c r="F430" s="74"/>
    </row>
    <row r="431" spans="2:6" s="28" customFormat="1" ht="15.75" hidden="1">
      <c r="B431" s="162" t="s">
        <v>378</v>
      </c>
      <c r="C431" s="160" t="s">
        <v>379</v>
      </c>
      <c r="D431" s="200">
        <f>946.56/1000</f>
        <v>0.94656</v>
      </c>
      <c r="E431" s="102"/>
      <c r="F431" s="74"/>
    </row>
    <row r="432" spans="2:6" s="28" customFormat="1" ht="15.75" hidden="1">
      <c r="B432" s="162" t="s">
        <v>380</v>
      </c>
      <c r="C432" s="160" t="s">
        <v>381</v>
      </c>
      <c r="D432" s="200">
        <f>2123.52/1000</f>
        <v>2.12352</v>
      </c>
      <c r="E432" s="102"/>
      <c r="F432" s="74"/>
    </row>
    <row r="433" spans="2:6" s="28" customFormat="1" ht="15.75" hidden="1">
      <c r="B433" s="179" t="s">
        <v>208</v>
      </c>
      <c r="C433" s="102"/>
      <c r="D433" s="201">
        <f>SUM(D429:D432)</f>
        <v>7.96038</v>
      </c>
      <c r="E433" s="102"/>
      <c r="F433" s="74"/>
    </row>
    <row r="434" spans="2:6" s="28" customFormat="1" ht="15.75">
      <c r="B434" s="278" t="s">
        <v>188</v>
      </c>
      <c r="C434" s="279"/>
      <c r="D434" s="279"/>
      <c r="E434" s="280"/>
      <c r="F434" s="74"/>
    </row>
    <row r="435" spans="2:6" s="28" customFormat="1" ht="15.75">
      <c r="B435" s="162" t="s">
        <v>382</v>
      </c>
      <c r="C435" s="160" t="s">
        <v>359</v>
      </c>
      <c r="D435" s="200">
        <f>1848.45/1000</f>
        <v>1.8484500000000001</v>
      </c>
      <c r="E435" s="102"/>
      <c r="F435" s="74"/>
    </row>
    <row r="436" spans="2:6" s="28" customFormat="1" ht="15.75">
      <c r="B436" s="162" t="s">
        <v>243</v>
      </c>
      <c r="C436" s="160" t="s">
        <v>244</v>
      </c>
      <c r="D436" s="200">
        <f>1200/1000</f>
        <v>1.2</v>
      </c>
      <c r="E436" s="102"/>
      <c r="F436" s="74"/>
    </row>
    <row r="437" spans="2:6" s="28" customFormat="1" ht="15.75">
      <c r="B437" s="162" t="s">
        <v>383</v>
      </c>
      <c r="C437" s="160" t="s">
        <v>244</v>
      </c>
      <c r="D437" s="200">
        <f>1800/1000</f>
        <v>1.8</v>
      </c>
      <c r="E437" s="102"/>
      <c r="F437" s="74"/>
    </row>
    <row r="438" spans="2:6" s="28" customFormat="1" ht="15.75">
      <c r="B438" s="162" t="s">
        <v>378</v>
      </c>
      <c r="C438" s="160" t="s">
        <v>379</v>
      </c>
      <c r="D438" s="200">
        <f>780/1000</f>
        <v>0.78</v>
      </c>
      <c r="E438" s="102"/>
      <c r="F438" s="74"/>
    </row>
    <row r="439" spans="2:6" s="28" customFormat="1" ht="20.25" customHeight="1">
      <c r="B439" s="162" t="s">
        <v>384</v>
      </c>
      <c r="C439" s="160" t="s">
        <v>385</v>
      </c>
      <c r="D439" s="200">
        <f>2400/1000</f>
        <v>2.4</v>
      </c>
      <c r="E439" s="102"/>
      <c r="F439" s="74"/>
    </row>
    <row r="440" spans="2:6" s="28" customFormat="1" ht="15.75">
      <c r="B440" s="162" t="s">
        <v>386</v>
      </c>
      <c r="C440" s="160" t="s">
        <v>340</v>
      </c>
      <c r="D440" s="200">
        <f>982.8/1000</f>
        <v>0.9828</v>
      </c>
      <c r="E440" s="102"/>
      <c r="F440" s="74"/>
    </row>
    <row r="441" spans="2:6" s="28" customFormat="1" ht="33" customHeight="1">
      <c r="B441" s="162" t="s">
        <v>387</v>
      </c>
      <c r="C441" s="160" t="s">
        <v>388</v>
      </c>
      <c r="D441" s="200">
        <f>540/1000</f>
        <v>0.54</v>
      </c>
      <c r="E441" s="102"/>
      <c r="F441" s="74"/>
    </row>
    <row r="442" spans="2:6" s="28" customFormat="1" ht="15.75">
      <c r="B442" s="162" t="s">
        <v>389</v>
      </c>
      <c r="C442" s="160" t="s">
        <v>390</v>
      </c>
      <c r="D442" s="200">
        <f>20/1000</f>
        <v>0.02</v>
      </c>
      <c r="E442" s="102"/>
      <c r="F442" s="74"/>
    </row>
    <row r="443" spans="2:6" s="28" customFormat="1" ht="16.5" customHeight="1">
      <c r="B443" s="162" t="s">
        <v>256</v>
      </c>
      <c r="C443" s="160" t="s">
        <v>363</v>
      </c>
      <c r="D443" s="200">
        <f>842/1000</f>
        <v>0.842</v>
      </c>
      <c r="E443" s="102"/>
      <c r="F443" s="74"/>
    </row>
    <row r="444" spans="2:6" s="28" customFormat="1" ht="31.5">
      <c r="B444" s="162" t="s">
        <v>391</v>
      </c>
      <c r="C444" s="160" t="s">
        <v>392</v>
      </c>
      <c r="D444" s="200">
        <f>2149.2/1000</f>
        <v>2.1492</v>
      </c>
      <c r="E444" s="102"/>
      <c r="F444" s="74"/>
    </row>
    <row r="445" spans="2:6" s="28" customFormat="1" ht="15.75">
      <c r="B445" s="162" t="s">
        <v>393</v>
      </c>
      <c r="C445" s="160" t="s">
        <v>352</v>
      </c>
      <c r="D445" s="200">
        <f>5860/1000</f>
        <v>5.86</v>
      </c>
      <c r="E445" s="102"/>
      <c r="F445" s="74"/>
    </row>
    <row r="446" spans="2:6" s="28" customFormat="1" ht="19.5" customHeight="1">
      <c r="B446" s="162" t="s">
        <v>394</v>
      </c>
      <c r="C446" s="160" t="s">
        <v>352</v>
      </c>
      <c r="D446" s="200">
        <f>6000/1000</f>
        <v>6</v>
      </c>
      <c r="E446" s="102"/>
      <c r="F446" s="74"/>
    </row>
    <row r="447" spans="2:6" s="28" customFormat="1" ht="15.75">
      <c r="B447" s="162" t="s">
        <v>395</v>
      </c>
      <c r="C447" s="160" t="s">
        <v>396</v>
      </c>
      <c r="D447" s="200">
        <f>16785/1000</f>
        <v>16.785</v>
      </c>
      <c r="E447" s="102"/>
      <c r="F447" s="74"/>
    </row>
    <row r="448" spans="2:6" s="28" customFormat="1" ht="15.75">
      <c r="B448" s="162" t="s">
        <v>397</v>
      </c>
      <c r="C448" s="160" t="s">
        <v>398</v>
      </c>
      <c r="D448" s="200">
        <f>1200/1000</f>
        <v>1.2</v>
      </c>
      <c r="E448" s="102"/>
      <c r="F448" s="74"/>
    </row>
    <row r="449" spans="2:6" s="28" customFormat="1" ht="19.5" customHeight="1">
      <c r="B449" s="162" t="s">
        <v>399</v>
      </c>
      <c r="C449" s="160" t="s">
        <v>398</v>
      </c>
      <c r="D449" s="200">
        <f>1420/1000</f>
        <v>1.42</v>
      </c>
      <c r="E449" s="102"/>
      <c r="F449" s="74"/>
    </row>
    <row r="450" spans="2:6" s="28" customFormat="1" ht="15.75">
      <c r="B450" s="162" t="s">
        <v>400</v>
      </c>
      <c r="C450" s="160" t="s">
        <v>398</v>
      </c>
      <c r="D450" s="200">
        <f>400/1000</f>
        <v>0.4</v>
      </c>
      <c r="E450" s="102"/>
      <c r="F450" s="74"/>
    </row>
    <row r="451" spans="2:6" s="28" customFormat="1" ht="15.75">
      <c r="B451" s="162" t="s">
        <v>401</v>
      </c>
      <c r="C451" s="160" t="s">
        <v>398</v>
      </c>
      <c r="D451" s="200">
        <f>1600/1000</f>
        <v>1.6</v>
      </c>
      <c r="E451" s="102"/>
      <c r="F451" s="74"/>
    </row>
    <row r="452" spans="2:6" s="28" customFormat="1" ht="31.5">
      <c r="B452" s="162" t="s">
        <v>402</v>
      </c>
      <c r="C452" s="160" t="s">
        <v>403</v>
      </c>
      <c r="D452" s="200">
        <f>1380/1000</f>
        <v>1.38</v>
      </c>
      <c r="E452" s="102"/>
      <c r="F452" s="74"/>
    </row>
    <row r="453" spans="2:6" s="28" customFormat="1" ht="15.75">
      <c r="B453" s="162" t="s">
        <v>404</v>
      </c>
      <c r="C453" s="160" t="s">
        <v>403</v>
      </c>
      <c r="D453" s="200">
        <f>(1200+1500)/1000</f>
        <v>2.7</v>
      </c>
      <c r="E453" s="102"/>
      <c r="F453" s="74"/>
    </row>
    <row r="454" spans="2:6" s="28" customFormat="1" ht="15.75">
      <c r="B454" s="179" t="s">
        <v>208</v>
      </c>
      <c r="C454" s="197"/>
      <c r="D454" s="201">
        <f>SUM(D435:D453)</f>
        <v>49.90745000000001</v>
      </c>
      <c r="E454" s="197"/>
      <c r="F454" s="74"/>
    </row>
    <row r="455" spans="2:6" s="28" customFormat="1" ht="15.75">
      <c r="B455" s="278" t="s">
        <v>405</v>
      </c>
      <c r="C455" s="279"/>
      <c r="D455" s="279"/>
      <c r="E455" s="280"/>
      <c r="F455" s="74"/>
    </row>
    <row r="456" spans="2:6" s="28" customFormat="1" ht="15.75">
      <c r="B456" s="162" t="s">
        <v>406</v>
      </c>
      <c r="C456" s="160" t="s">
        <v>407</v>
      </c>
      <c r="D456" s="200">
        <f>70000/1000</f>
        <v>70</v>
      </c>
      <c r="E456" s="102"/>
      <c r="F456" s="74"/>
    </row>
    <row r="457" spans="2:6" s="28" customFormat="1" ht="31.5">
      <c r="B457" s="162" t="s">
        <v>408</v>
      </c>
      <c r="C457" s="160" t="s">
        <v>409</v>
      </c>
      <c r="D457" s="200">
        <f>10000/1000</f>
        <v>10</v>
      </c>
      <c r="E457" s="102"/>
      <c r="F457" s="74"/>
    </row>
    <row r="458" spans="2:6" s="28" customFormat="1" ht="18.75" customHeight="1">
      <c r="B458" s="162" t="s">
        <v>410</v>
      </c>
      <c r="C458" s="160" t="s">
        <v>411</v>
      </c>
      <c r="D458" s="200">
        <f>154460.07/1000</f>
        <v>154.46007</v>
      </c>
      <c r="E458" s="102"/>
      <c r="F458" s="74"/>
    </row>
    <row r="459" spans="2:6" s="28" customFormat="1" ht="15.75">
      <c r="B459" s="162" t="s">
        <v>1247</v>
      </c>
      <c r="C459" s="160" t="s">
        <v>412</v>
      </c>
      <c r="D459" s="200">
        <f>5000/1000</f>
        <v>5</v>
      </c>
      <c r="E459" s="102"/>
      <c r="F459" s="74"/>
    </row>
    <row r="460" spans="2:6" s="28" customFormat="1" ht="31.5">
      <c r="B460" s="162" t="s">
        <v>413</v>
      </c>
      <c r="C460" s="160" t="s">
        <v>414</v>
      </c>
      <c r="D460" s="200">
        <f>6000/1000</f>
        <v>6</v>
      </c>
      <c r="E460" s="102"/>
      <c r="F460" s="74"/>
    </row>
    <row r="461" spans="2:6" s="28" customFormat="1" ht="15.75">
      <c r="B461" s="162" t="s">
        <v>415</v>
      </c>
      <c r="C461" s="160" t="s">
        <v>416</v>
      </c>
      <c r="D461" s="200">
        <f>4320/1000</f>
        <v>4.32</v>
      </c>
      <c r="E461" s="102"/>
      <c r="F461" s="74"/>
    </row>
    <row r="462" spans="2:6" s="28" customFormat="1" ht="20.25" customHeight="1">
      <c r="B462" s="162" t="s">
        <v>417</v>
      </c>
      <c r="C462" s="160" t="s">
        <v>416</v>
      </c>
      <c r="D462" s="200">
        <f>2500/1000</f>
        <v>2.5</v>
      </c>
      <c r="E462" s="102"/>
      <c r="F462" s="74"/>
    </row>
    <row r="463" spans="2:6" s="28" customFormat="1" ht="15.75">
      <c r="B463" s="162" t="s">
        <v>418</v>
      </c>
      <c r="C463" s="160" t="s">
        <v>416</v>
      </c>
      <c r="D463" s="200">
        <f>2500/1000</f>
        <v>2.5</v>
      </c>
      <c r="E463" s="102"/>
      <c r="F463" s="74"/>
    </row>
    <row r="464" spans="2:6" s="28" customFormat="1" ht="31.5">
      <c r="B464" s="162" t="s">
        <v>419</v>
      </c>
      <c r="C464" s="160" t="s">
        <v>416</v>
      </c>
      <c r="D464" s="200">
        <f>9000/1000</f>
        <v>9</v>
      </c>
      <c r="E464" s="102"/>
      <c r="F464" s="74"/>
    </row>
    <row r="465" spans="2:6" s="28" customFormat="1" ht="31.5">
      <c r="B465" s="162" t="s">
        <v>420</v>
      </c>
      <c r="C465" s="160" t="s">
        <v>416</v>
      </c>
      <c r="D465" s="200">
        <f>13500/1000</f>
        <v>13.5</v>
      </c>
      <c r="E465" s="102"/>
      <c r="F465" s="74"/>
    </row>
    <row r="466" spans="2:6" s="28" customFormat="1" ht="31.5">
      <c r="B466" s="162" t="s">
        <v>421</v>
      </c>
      <c r="C466" s="160" t="s">
        <v>416</v>
      </c>
      <c r="D466" s="200">
        <f>15500/1000</f>
        <v>15.5</v>
      </c>
      <c r="E466" s="102"/>
      <c r="F466" s="74"/>
    </row>
    <row r="467" spans="2:6" s="28" customFormat="1" ht="31.5">
      <c r="B467" s="162" t="s">
        <v>422</v>
      </c>
      <c r="C467" s="160" t="s">
        <v>423</v>
      </c>
      <c r="D467" s="200">
        <f>5000/1000</f>
        <v>5</v>
      </c>
      <c r="E467" s="102"/>
      <c r="F467" s="74"/>
    </row>
    <row r="468" spans="2:6" s="28" customFormat="1" ht="14.25" customHeight="1">
      <c r="B468" s="162" t="s">
        <v>424</v>
      </c>
      <c r="C468" s="160" t="s">
        <v>425</v>
      </c>
      <c r="D468" s="200">
        <f>5027/1000</f>
        <v>5.027</v>
      </c>
      <c r="E468" s="102"/>
      <c r="F468" s="74"/>
    </row>
    <row r="469" spans="2:6" s="28" customFormat="1" ht="15.75">
      <c r="B469" s="162" t="s">
        <v>426</v>
      </c>
      <c r="C469" s="160" t="s">
        <v>425</v>
      </c>
      <c r="D469" s="200">
        <f>7473/1000</f>
        <v>7.473</v>
      </c>
      <c r="E469" s="102"/>
      <c r="F469" s="74"/>
    </row>
    <row r="470" spans="2:6" s="28" customFormat="1" ht="22.5" customHeight="1">
      <c r="B470" s="162" t="s">
        <v>427</v>
      </c>
      <c r="C470" s="160" t="s">
        <v>428</v>
      </c>
      <c r="D470" s="200">
        <f>13530/1000</f>
        <v>13.53</v>
      </c>
      <c r="E470" s="102"/>
      <c r="F470" s="74"/>
    </row>
    <row r="471" spans="2:6" s="28" customFormat="1" ht="31.5">
      <c r="B471" s="162" t="s">
        <v>429</v>
      </c>
      <c r="C471" s="160" t="s">
        <v>428</v>
      </c>
      <c r="D471" s="200">
        <f>3960/1000</f>
        <v>3.96</v>
      </c>
      <c r="E471" s="102"/>
      <c r="F471" s="74"/>
    </row>
    <row r="472" spans="2:6" s="28" customFormat="1" ht="31.5">
      <c r="B472" s="162" t="s">
        <v>430</v>
      </c>
      <c r="C472" s="160" t="s">
        <v>428</v>
      </c>
      <c r="D472" s="200">
        <f>31570/1000</f>
        <v>31.57</v>
      </c>
      <c r="E472" s="102"/>
      <c r="F472" s="74"/>
    </row>
    <row r="473" spans="2:6" s="28" customFormat="1" ht="15.75">
      <c r="B473" s="162" t="s">
        <v>431</v>
      </c>
      <c r="C473" s="160" t="s">
        <v>428</v>
      </c>
      <c r="D473" s="200">
        <f>9240/1000</f>
        <v>9.24</v>
      </c>
      <c r="E473" s="102"/>
      <c r="F473" s="74"/>
    </row>
    <row r="474" spans="2:6" s="28" customFormat="1" ht="15.75">
      <c r="B474" s="162" t="s">
        <v>432</v>
      </c>
      <c r="C474" s="160" t="s">
        <v>428</v>
      </c>
      <c r="D474" s="200">
        <f>9900/1000</f>
        <v>9.9</v>
      </c>
      <c r="E474" s="102"/>
      <c r="F474" s="74"/>
    </row>
    <row r="475" spans="2:6" s="28" customFormat="1" ht="15.75">
      <c r="B475" s="162" t="s">
        <v>433</v>
      </c>
      <c r="C475" s="160" t="s">
        <v>428</v>
      </c>
      <c r="D475" s="200">
        <f>23100/1000</f>
        <v>23.1</v>
      </c>
      <c r="E475" s="102"/>
      <c r="F475" s="74"/>
    </row>
    <row r="476" spans="2:6" s="28" customFormat="1" ht="15.75">
      <c r="B476" s="162" t="s">
        <v>434</v>
      </c>
      <c r="C476" s="160" t="s">
        <v>428</v>
      </c>
      <c r="D476" s="200">
        <f>35000/1000</f>
        <v>35</v>
      </c>
      <c r="E476" s="102"/>
      <c r="F476" s="74"/>
    </row>
    <row r="477" spans="2:6" s="28" customFormat="1" ht="15.75">
      <c r="B477" s="162" t="s">
        <v>435</v>
      </c>
      <c r="C477" s="160" t="s">
        <v>428</v>
      </c>
      <c r="D477" s="200">
        <f>4000/1000</f>
        <v>4</v>
      </c>
      <c r="E477" s="102"/>
      <c r="F477" s="74"/>
    </row>
    <row r="478" spans="2:6" s="28" customFormat="1" ht="17.25" customHeight="1">
      <c r="B478" s="162" t="s">
        <v>436</v>
      </c>
      <c r="C478" s="160" t="s">
        <v>428</v>
      </c>
      <c r="D478" s="200">
        <f>7500/1000</f>
        <v>7.5</v>
      </c>
      <c r="E478" s="102"/>
      <c r="F478" s="74"/>
    </row>
    <row r="479" spans="2:6" s="28" customFormat="1" ht="31.5">
      <c r="B479" s="162" t="s">
        <v>437</v>
      </c>
      <c r="C479" s="160" t="s">
        <v>438</v>
      </c>
      <c r="D479" s="200">
        <f>16000/1000</f>
        <v>16</v>
      </c>
      <c r="E479" s="102"/>
      <c r="F479" s="74"/>
    </row>
    <row r="480" spans="2:6" s="28" customFormat="1" ht="15.75">
      <c r="B480" s="162" t="s">
        <v>439</v>
      </c>
      <c r="C480" s="160" t="s">
        <v>440</v>
      </c>
      <c r="D480" s="200">
        <f>2400/1000</f>
        <v>2.4</v>
      </c>
      <c r="E480" s="102"/>
      <c r="F480" s="74"/>
    </row>
    <row r="481" spans="2:6" s="28" customFormat="1" ht="15.75">
      <c r="B481" s="162" t="s">
        <v>441</v>
      </c>
      <c r="C481" s="160" t="s">
        <v>440</v>
      </c>
      <c r="D481" s="200">
        <f>4500/1000</f>
        <v>4.5</v>
      </c>
      <c r="E481" s="102"/>
      <c r="F481" s="74"/>
    </row>
    <row r="482" spans="2:6" s="28" customFormat="1" ht="15.75">
      <c r="B482" s="162" t="s">
        <v>441</v>
      </c>
      <c r="C482" s="160" t="s">
        <v>440</v>
      </c>
      <c r="D482" s="200">
        <f>6000/1000</f>
        <v>6</v>
      </c>
      <c r="E482" s="102"/>
      <c r="F482" s="74"/>
    </row>
    <row r="483" spans="2:6" s="28" customFormat="1" ht="15.75">
      <c r="B483" s="162" t="s">
        <v>442</v>
      </c>
      <c r="C483" s="160" t="s">
        <v>440</v>
      </c>
      <c r="D483" s="200">
        <f>5000/1000</f>
        <v>5</v>
      </c>
      <c r="E483" s="102"/>
      <c r="F483" s="74"/>
    </row>
    <row r="484" spans="2:6" s="28" customFormat="1" ht="19.5" customHeight="1">
      <c r="B484" s="162" t="s">
        <v>443</v>
      </c>
      <c r="C484" s="160" t="s">
        <v>440</v>
      </c>
      <c r="D484" s="200">
        <f>1650/1000</f>
        <v>1.65</v>
      </c>
      <c r="E484" s="102"/>
      <c r="F484" s="74"/>
    </row>
    <row r="485" spans="2:6" s="28" customFormat="1" ht="15.75">
      <c r="B485" s="162" t="s">
        <v>444</v>
      </c>
      <c r="C485" s="160" t="s">
        <v>445</v>
      </c>
      <c r="D485" s="200">
        <f>21800/1000</f>
        <v>21.8</v>
      </c>
      <c r="E485" s="102"/>
      <c r="F485" s="74"/>
    </row>
    <row r="486" spans="2:6" s="28" customFormat="1" ht="18.75" customHeight="1">
      <c r="B486" s="162" t="s">
        <v>446</v>
      </c>
      <c r="C486" s="160" t="s">
        <v>447</v>
      </c>
      <c r="D486" s="200">
        <f>5000/1000</f>
        <v>5</v>
      </c>
      <c r="E486" s="102"/>
      <c r="F486" s="74"/>
    </row>
    <row r="487" spans="2:6" s="28" customFormat="1" ht="20.25" customHeight="1">
      <c r="B487" s="162" t="s">
        <v>448</v>
      </c>
      <c r="C487" s="160" t="s">
        <v>372</v>
      </c>
      <c r="D487" s="200">
        <f>8200/1000</f>
        <v>8.2</v>
      </c>
      <c r="E487" s="102"/>
      <c r="F487" s="74"/>
    </row>
    <row r="488" spans="2:6" s="28" customFormat="1" ht="15.75">
      <c r="B488" s="179" t="s">
        <v>208</v>
      </c>
      <c r="C488" s="197"/>
      <c r="D488" s="201">
        <f>SUM(D456:D487)</f>
        <v>518.6300699999999</v>
      </c>
      <c r="E488" s="197"/>
      <c r="F488" s="74"/>
    </row>
    <row r="489" spans="2:6" s="28" customFormat="1" ht="15.75">
      <c r="B489" s="278" t="s">
        <v>192</v>
      </c>
      <c r="C489" s="279"/>
      <c r="D489" s="279"/>
      <c r="E489" s="280"/>
      <c r="F489" s="74"/>
    </row>
    <row r="490" spans="2:6" s="28" customFormat="1" ht="31.5">
      <c r="B490" s="162" t="s">
        <v>449</v>
      </c>
      <c r="C490" s="160" t="s">
        <v>450</v>
      </c>
      <c r="D490" s="200">
        <f>27474.41/1000</f>
        <v>27.47441</v>
      </c>
      <c r="E490" s="102"/>
      <c r="F490" s="74"/>
    </row>
    <row r="491" spans="2:6" s="28" customFormat="1" ht="15.75">
      <c r="B491" s="162" t="s">
        <v>451</v>
      </c>
      <c r="C491" s="160" t="s">
        <v>450</v>
      </c>
      <c r="D491" s="200">
        <f>71851.2/1000</f>
        <v>71.85119999999999</v>
      </c>
      <c r="E491" s="102"/>
      <c r="F491" s="74"/>
    </row>
    <row r="492" spans="2:6" s="28" customFormat="1" ht="15.75">
      <c r="B492" s="162" t="s">
        <v>452</v>
      </c>
      <c r="C492" s="160" t="s">
        <v>1494</v>
      </c>
      <c r="D492" s="200">
        <f>452.78/1000</f>
        <v>0.45277999999999996</v>
      </c>
      <c r="E492" s="102"/>
      <c r="F492" s="74"/>
    </row>
    <row r="493" spans="2:6" s="28" customFormat="1" ht="31.5">
      <c r="B493" s="162" t="s">
        <v>453</v>
      </c>
      <c r="C493" s="160" t="s">
        <v>1494</v>
      </c>
      <c r="D493" s="200">
        <f>3899.27/1000</f>
        <v>3.89927</v>
      </c>
      <c r="E493" s="102"/>
      <c r="F493" s="74"/>
    </row>
    <row r="494" spans="2:6" s="28" customFormat="1" ht="31.5">
      <c r="B494" s="162" t="s">
        <v>454</v>
      </c>
      <c r="C494" s="160" t="s">
        <v>1494</v>
      </c>
      <c r="D494" s="200">
        <f>40.91/1000</f>
        <v>0.040909999999999995</v>
      </c>
      <c r="E494" s="102"/>
      <c r="F494" s="74"/>
    </row>
    <row r="495" spans="2:6" s="28" customFormat="1" ht="31.5">
      <c r="B495" s="162" t="s">
        <v>455</v>
      </c>
      <c r="C495" s="160" t="s">
        <v>1494</v>
      </c>
      <c r="D495" s="200">
        <f>1320.98/1000</f>
        <v>1.32098</v>
      </c>
      <c r="E495" s="102"/>
      <c r="F495" s="74"/>
    </row>
    <row r="496" spans="2:6" s="28" customFormat="1" ht="31.5">
      <c r="B496" s="162" t="s">
        <v>456</v>
      </c>
      <c r="C496" s="160" t="s">
        <v>457</v>
      </c>
      <c r="D496" s="200">
        <f>58204.43/1000</f>
        <v>58.20443</v>
      </c>
      <c r="E496" s="102"/>
      <c r="F496" s="74"/>
    </row>
    <row r="497" spans="2:6" s="28" customFormat="1" ht="34.5" customHeight="1">
      <c r="B497" s="162" t="s">
        <v>458</v>
      </c>
      <c r="C497" s="160" t="s">
        <v>457</v>
      </c>
      <c r="D497" s="200">
        <f>662.97/1000</f>
        <v>0.6629700000000001</v>
      </c>
      <c r="E497" s="102"/>
      <c r="F497" s="74"/>
    </row>
    <row r="498" spans="2:6" s="28" customFormat="1" ht="15.75">
      <c r="B498" s="162" t="s">
        <v>459</v>
      </c>
      <c r="C498" s="160" t="s">
        <v>457</v>
      </c>
      <c r="D498" s="200">
        <f>6756.72/1000</f>
        <v>6.7567200000000005</v>
      </c>
      <c r="E498" s="102"/>
      <c r="F498" s="74"/>
    </row>
    <row r="499" spans="2:6" s="28" customFormat="1" ht="31.5">
      <c r="B499" s="162" t="s">
        <v>460</v>
      </c>
      <c r="C499" s="160" t="s">
        <v>457</v>
      </c>
      <c r="D499" s="200">
        <f>1546.94/1000</f>
        <v>1.54694</v>
      </c>
      <c r="E499" s="102"/>
      <c r="F499" s="74"/>
    </row>
    <row r="500" spans="2:6" s="28" customFormat="1" ht="15.75">
      <c r="B500" s="162" t="s">
        <v>461</v>
      </c>
      <c r="C500" s="160" t="s">
        <v>457</v>
      </c>
      <c r="D500" s="200">
        <f>15765.68/1000</f>
        <v>15.76568</v>
      </c>
      <c r="E500" s="102"/>
      <c r="F500" s="74"/>
    </row>
    <row r="501" spans="2:6" s="28" customFormat="1" ht="15.75" customHeight="1">
      <c r="B501" s="162" t="s">
        <v>462</v>
      </c>
      <c r="C501" s="160" t="s">
        <v>457</v>
      </c>
      <c r="D501" s="200">
        <f>135810.35/1000</f>
        <v>135.81035</v>
      </c>
      <c r="E501" s="102"/>
      <c r="F501" s="74"/>
    </row>
    <row r="502" spans="2:6" s="28" customFormat="1" ht="31.5">
      <c r="B502" s="162" t="s">
        <v>463</v>
      </c>
      <c r="C502" s="160" t="s">
        <v>457</v>
      </c>
      <c r="D502" s="200">
        <f>62062.4/1000</f>
        <v>62.062400000000004</v>
      </c>
      <c r="E502" s="102"/>
      <c r="F502" s="74"/>
    </row>
    <row r="503" spans="2:6" s="28" customFormat="1" ht="15.75">
      <c r="B503" s="179" t="s">
        <v>208</v>
      </c>
      <c r="C503" s="197"/>
      <c r="D503" s="201">
        <f>SUM(D490:D502)</f>
        <v>385.84904000000006</v>
      </c>
      <c r="E503" s="197"/>
      <c r="F503" s="74"/>
    </row>
    <row r="504" spans="2:6" s="28" customFormat="1" ht="15.75">
      <c r="B504" s="278" t="s">
        <v>128</v>
      </c>
      <c r="C504" s="279"/>
      <c r="D504" s="279"/>
      <c r="E504" s="280"/>
      <c r="F504" s="74"/>
    </row>
    <row r="505" spans="2:6" s="28" customFormat="1" ht="15.75">
      <c r="B505" s="162" t="s">
        <v>464</v>
      </c>
      <c r="C505" s="160" t="s">
        <v>291</v>
      </c>
      <c r="D505" s="200">
        <f>265.48/1000</f>
        <v>0.26548</v>
      </c>
      <c r="E505" s="102"/>
      <c r="F505" s="74"/>
    </row>
    <row r="506" spans="2:6" s="28" customFormat="1" ht="15.75">
      <c r="B506" s="162" t="s">
        <v>465</v>
      </c>
      <c r="C506" s="160" t="s">
        <v>291</v>
      </c>
      <c r="D506" s="200">
        <f>1189.55/1000</f>
        <v>1.1895499999999999</v>
      </c>
      <c r="E506" s="102"/>
      <c r="F506" s="74"/>
    </row>
    <row r="507" spans="2:6" s="28" customFormat="1" ht="15.75">
      <c r="B507" s="162" t="s">
        <v>466</v>
      </c>
      <c r="C507" s="160" t="s">
        <v>467</v>
      </c>
      <c r="D507" s="200">
        <f>4229.9/1000</f>
        <v>4.2299</v>
      </c>
      <c r="E507" s="102"/>
      <c r="F507" s="74"/>
    </row>
    <row r="508" spans="2:6" s="28" customFormat="1" ht="20.25" customHeight="1">
      <c r="B508" s="162" t="s">
        <v>468</v>
      </c>
      <c r="C508" s="160" t="s">
        <v>469</v>
      </c>
      <c r="D508" s="200">
        <f>76500/1000</f>
        <v>76.5</v>
      </c>
      <c r="E508" s="102"/>
      <c r="F508" s="74"/>
    </row>
    <row r="509" spans="2:6" s="28" customFormat="1" ht="15.75">
      <c r="B509" s="162" t="s">
        <v>470</v>
      </c>
      <c r="C509" s="160" t="s">
        <v>471</v>
      </c>
      <c r="D509" s="200">
        <f>10472.46/1000</f>
        <v>10.47246</v>
      </c>
      <c r="E509" s="102"/>
      <c r="F509" s="74"/>
    </row>
    <row r="510" spans="2:6" s="28" customFormat="1" ht="15.75">
      <c r="B510" s="179" t="s">
        <v>208</v>
      </c>
      <c r="C510" s="197"/>
      <c r="D510" s="201">
        <f>SUM(D505:D509)</f>
        <v>92.65738999999999</v>
      </c>
      <c r="E510" s="102"/>
      <c r="F510" s="74"/>
    </row>
    <row r="511" spans="2:6" s="28" customFormat="1" ht="15.75">
      <c r="B511" s="278" t="s">
        <v>472</v>
      </c>
      <c r="C511" s="279"/>
      <c r="D511" s="279"/>
      <c r="E511" s="280"/>
      <c r="F511" s="74"/>
    </row>
    <row r="512" spans="2:6" s="28" customFormat="1" ht="15.75">
      <c r="B512" s="177" t="s">
        <v>473</v>
      </c>
      <c r="C512" s="160" t="s">
        <v>474</v>
      </c>
      <c r="D512" s="200">
        <f>5300/1000</f>
        <v>5.3</v>
      </c>
      <c r="E512" s="102"/>
      <c r="F512" s="74"/>
    </row>
    <row r="513" spans="2:6" s="28" customFormat="1" ht="15.75">
      <c r="B513" s="179" t="s">
        <v>208</v>
      </c>
      <c r="C513" s="197"/>
      <c r="D513" s="201">
        <f>SUM(D512)</f>
        <v>5.3</v>
      </c>
      <c r="E513" s="197"/>
      <c r="F513" s="74"/>
    </row>
    <row r="514" spans="2:6" ht="54" customHeight="1">
      <c r="B514" s="4"/>
      <c r="C514" s="4"/>
      <c r="D514" s="65"/>
      <c r="E514" s="45"/>
      <c r="F514" s="45"/>
    </row>
    <row r="515" spans="1:12" ht="33.75" customHeight="1">
      <c r="A515" s="267" t="s">
        <v>733</v>
      </c>
      <c r="B515" s="267"/>
      <c r="C515" s="267"/>
      <c r="D515" s="267"/>
      <c r="E515" s="267"/>
      <c r="F515" s="217"/>
      <c r="G515" s="217"/>
      <c r="H515" s="217"/>
      <c r="I515" s="217"/>
      <c r="J515" s="217"/>
      <c r="K515" s="217"/>
      <c r="L515" s="217"/>
    </row>
    <row r="516" spans="1:5" ht="15.75">
      <c r="A516" s="9" t="s">
        <v>734</v>
      </c>
      <c r="B516" s="9" t="s">
        <v>727</v>
      </c>
      <c r="C516" s="9" t="s">
        <v>728</v>
      </c>
      <c r="D516" s="10" t="s">
        <v>729</v>
      </c>
      <c r="E516" s="11" t="s">
        <v>726</v>
      </c>
    </row>
    <row r="517" spans="1:5" ht="12.75">
      <c r="A517" s="1">
        <v>1</v>
      </c>
      <c r="B517" s="1">
        <v>2</v>
      </c>
      <c r="C517" s="1">
        <v>3</v>
      </c>
      <c r="D517" s="1">
        <v>4</v>
      </c>
      <c r="E517" s="1">
        <v>5</v>
      </c>
    </row>
    <row r="518" spans="1:6" ht="18" customHeight="1">
      <c r="A518" s="66"/>
      <c r="B518" s="241" t="s">
        <v>627</v>
      </c>
      <c r="C518" s="241"/>
      <c r="D518" s="241"/>
      <c r="E518" s="241"/>
      <c r="F518" s="241"/>
    </row>
    <row r="519" spans="1:6" s="28" customFormat="1" ht="18" customHeight="1">
      <c r="A519" s="81"/>
      <c r="B519" s="21" t="s">
        <v>672</v>
      </c>
      <c r="C519" s="63" t="s">
        <v>673</v>
      </c>
      <c r="D519" s="130">
        <v>1.2</v>
      </c>
      <c r="E519" s="83"/>
      <c r="F519" s="82"/>
    </row>
    <row r="520" spans="1:6" s="28" customFormat="1" ht="18" customHeight="1">
      <c r="A520" s="81"/>
      <c r="B520" s="21" t="s">
        <v>674</v>
      </c>
      <c r="C520" s="63" t="s">
        <v>1013</v>
      </c>
      <c r="D520" s="130">
        <v>36.6</v>
      </c>
      <c r="E520" s="83"/>
      <c r="F520" s="82"/>
    </row>
    <row r="521" spans="1:6" s="28" customFormat="1" ht="18" customHeight="1">
      <c r="A521" s="81"/>
      <c r="B521" s="21" t="s">
        <v>675</v>
      </c>
      <c r="C521" s="63" t="s">
        <v>676</v>
      </c>
      <c r="D521" s="130">
        <v>7.5</v>
      </c>
      <c r="E521" s="83"/>
      <c r="F521" s="82"/>
    </row>
    <row r="522" spans="1:6" s="28" customFormat="1" ht="18" customHeight="1">
      <c r="A522" s="81"/>
      <c r="B522" s="21" t="s">
        <v>677</v>
      </c>
      <c r="C522" s="63" t="s">
        <v>678</v>
      </c>
      <c r="D522" s="130">
        <v>9.2</v>
      </c>
      <c r="E522" s="83"/>
      <c r="F522" s="82"/>
    </row>
    <row r="523" spans="2:6" ht="18.75">
      <c r="B523" s="241" t="s">
        <v>753</v>
      </c>
      <c r="C523" s="241"/>
      <c r="D523" s="241"/>
      <c r="E523" s="241"/>
      <c r="F523" s="241"/>
    </row>
    <row r="524" spans="1:5" ht="15.75">
      <c r="A524" s="108"/>
      <c r="B524" s="109" t="s">
        <v>946</v>
      </c>
      <c r="C524" s="89" t="s">
        <v>947</v>
      </c>
      <c r="D524" s="26">
        <v>4.75</v>
      </c>
      <c r="E524" s="12"/>
    </row>
    <row r="525" spans="1:5" ht="15.75">
      <c r="A525" s="108"/>
      <c r="B525" s="109" t="s">
        <v>948</v>
      </c>
      <c r="C525" s="89" t="s">
        <v>949</v>
      </c>
      <c r="D525" s="110">
        <v>7.29</v>
      </c>
      <c r="E525" s="12"/>
    </row>
    <row r="526" spans="2:5" ht="15.75">
      <c r="B526" s="109" t="s">
        <v>950</v>
      </c>
      <c r="C526" s="89" t="s">
        <v>949</v>
      </c>
      <c r="D526" s="110">
        <v>9.802</v>
      </c>
      <c r="E526" s="12"/>
    </row>
    <row r="527" spans="2:5" ht="15.75">
      <c r="B527" s="111" t="s">
        <v>951</v>
      </c>
      <c r="C527" s="89" t="s">
        <v>949</v>
      </c>
      <c r="D527" s="110">
        <v>27.897</v>
      </c>
      <c r="E527" s="12"/>
    </row>
    <row r="528" spans="2:5" ht="15.75">
      <c r="B528" s="109" t="s">
        <v>952</v>
      </c>
      <c r="C528" s="89" t="s">
        <v>949</v>
      </c>
      <c r="D528" s="110">
        <v>13.614</v>
      </c>
      <c r="E528" s="12"/>
    </row>
    <row r="529" spans="2:5" ht="15.75">
      <c r="B529" s="109" t="s">
        <v>953</v>
      </c>
      <c r="C529" s="89" t="s">
        <v>771</v>
      </c>
      <c r="D529" s="110">
        <v>3.863</v>
      </c>
      <c r="E529" s="12"/>
    </row>
    <row r="530" spans="2:5" ht="15.75">
      <c r="B530" s="109" t="s">
        <v>954</v>
      </c>
      <c r="C530" s="89" t="s">
        <v>949</v>
      </c>
      <c r="D530" s="110">
        <v>6.329</v>
      </c>
      <c r="E530" s="12"/>
    </row>
    <row r="531" spans="2:5" ht="15.75">
      <c r="B531" s="109" t="s">
        <v>955</v>
      </c>
      <c r="C531" s="89" t="s">
        <v>949</v>
      </c>
      <c r="D531" s="110">
        <v>23.978</v>
      </c>
      <c r="E531" s="12"/>
    </row>
    <row r="532" spans="2:5" ht="15.75">
      <c r="B532" s="109" t="s">
        <v>956</v>
      </c>
      <c r="C532" s="89" t="s">
        <v>949</v>
      </c>
      <c r="D532" s="110">
        <v>17.659</v>
      </c>
      <c r="E532" s="12"/>
    </row>
    <row r="533" spans="2:5" ht="15.75">
      <c r="B533" s="109" t="s">
        <v>957</v>
      </c>
      <c r="C533" s="89" t="s">
        <v>949</v>
      </c>
      <c r="D533" s="110">
        <v>11.315</v>
      </c>
      <c r="E533" s="12"/>
    </row>
    <row r="534" spans="2:5" ht="15.75">
      <c r="B534" s="109" t="s">
        <v>958</v>
      </c>
      <c r="C534" s="89" t="s">
        <v>959</v>
      </c>
      <c r="D534" s="110">
        <v>3.221</v>
      </c>
      <c r="E534" s="12"/>
    </row>
    <row r="535" spans="2:5" ht="15.75">
      <c r="B535" s="109" t="s">
        <v>960</v>
      </c>
      <c r="C535" s="89" t="s">
        <v>959</v>
      </c>
      <c r="D535" s="110">
        <v>3.391</v>
      </c>
      <c r="E535" s="12"/>
    </row>
    <row r="536" spans="2:5" ht="15.75">
      <c r="B536" s="109" t="s">
        <v>961</v>
      </c>
      <c r="C536" s="89" t="s">
        <v>959</v>
      </c>
      <c r="D536" s="110">
        <v>1.413</v>
      </c>
      <c r="E536" s="12"/>
    </row>
    <row r="537" spans="2:5" ht="19.5" customHeight="1">
      <c r="B537" s="109" t="s">
        <v>962</v>
      </c>
      <c r="C537" s="112" t="s">
        <v>963</v>
      </c>
      <c r="D537" s="110">
        <v>2.25</v>
      </c>
      <c r="E537" s="12"/>
    </row>
    <row r="538" spans="2:5" ht="20.25" customHeight="1">
      <c r="B538" s="111" t="s">
        <v>964</v>
      </c>
      <c r="C538" s="89" t="s">
        <v>965</v>
      </c>
      <c r="D538" s="110">
        <v>3.98</v>
      </c>
      <c r="E538" s="12"/>
    </row>
    <row r="539" spans="2:5" ht="31.5">
      <c r="B539" s="111" t="s">
        <v>966</v>
      </c>
      <c r="C539" s="89" t="s">
        <v>967</v>
      </c>
      <c r="D539" s="110">
        <v>8.476</v>
      </c>
      <c r="E539" s="12"/>
    </row>
    <row r="540" spans="2:5" ht="21.75" customHeight="1">
      <c r="B540" s="111" t="s">
        <v>968</v>
      </c>
      <c r="C540" s="89" t="s">
        <v>969</v>
      </c>
      <c r="D540" s="110">
        <v>2.781</v>
      </c>
      <c r="E540" s="12"/>
    </row>
    <row r="541" spans="2:5" ht="31.5">
      <c r="B541" s="111" t="s">
        <v>970</v>
      </c>
      <c r="C541" s="89" t="s">
        <v>969</v>
      </c>
      <c r="D541" s="110">
        <v>18.9</v>
      </c>
      <c r="E541" s="12"/>
    </row>
    <row r="542" spans="2:5" ht="37.5" customHeight="1">
      <c r="B542" s="111" t="s">
        <v>971</v>
      </c>
      <c r="C542" s="89" t="s">
        <v>969</v>
      </c>
      <c r="D542" s="110">
        <v>11.455</v>
      </c>
      <c r="E542" s="12"/>
    </row>
    <row r="543" spans="2:5" ht="19.5" customHeight="1">
      <c r="B543" s="111" t="s">
        <v>972</v>
      </c>
      <c r="C543" s="113" t="s">
        <v>973</v>
      </c>
      <c r="D543" s="110">
        <v>9.17</v>
      </c>
      <c r="E543" s="12"/>
    </row>
    <row r="544" spans="2:5" ht="15.75">
      <c r="B544" s="109" t="s">
        <v>974</v>
      </c>
      <c r="C544" s="89" t="s">
        <v>949</v>
      </c>
      <c r="D544" s="110">
        <v>11.618</v>
      </c>
      <c r="E544" s="12"/>
    </row>
    <row r="545" spans="2:5" ht="15.75">
      <c r="B545" s="109" t="s">
        <v>975</v>
      </c>
      <c r="C545" s="89" t="s">
        <v>959</v>
      </c>
      <c r="D545" s="110">
        <v>3.085</v>
      </c>
      <c r="E545" s="12"/>
    </row>
    <row r="546" spans="2:5" ht="15.75">
      <c r="B546" s="109" t="s">
        <v>976</v>
      </c>
      <c r="C546" s="89" t="s">
        <v>959</v>
      </c>
      <c r="D546" s="110">
        <v>3.442</v>
      </c>
      <c r="E546" s="12"/>
    </row>
    <row r="547" spans="2:5" ht="15.75">
      <c r="B547" s="109" t="s">
        <v>977</v>
      </c>
      <c r="C547" s="89" t="s">
        <v>959</v>
      </c>
      <c r="D547" s="110">
        <v>1.267</v>
      </c>
      <c r="E547" s="12"/>
    </row>
    <row r="548" spans="2:5" ht="15.75">
      <c r="B548" s="109" t="s">
        <v>978</v>
      </c>
      <c r="C548" s="89" t="s">
        <v>959</v>
      </c>
      <c r="D548" s="110">
        <v>3.279</v>
      </c>
      <c r="E548" s="12"/>
    </row>
    <row r="549" spans="2:5" ht="15.75">
      <c r="B549" s="109" t="s">
        <v>979</v>
      </c>
      <c r="C549" s="89" t="s">
        <v>959</v>
      </c>
      <c r="D549" s="110">
        <v>2.886</v>
      </c>
      <c r="E549" s="12"/>
    </row>
    <row r="550" spans="2:5" ht="15.75">
      <c r="B550" s="109" t="s">
        <v>980</v>
      </c>
      <c r="C550" s="89" t="s">
        <v>959</v>
      </c>
      <c r="D550" s="110">
        <v>6.347</v>
      </c>
      <c r="E550" s="12"/>
    </row>
    <row r="551" spans="2:5" ht="15.75">
      <c r="B551" s="111" t="s">
        <v>981</v>
      </c>
      <c r="C551" s="89" t="s">
        <v>982</v>
      </c>
      <c r="D551" s="110">
        <v>2.35</v>
      </c>
      <c r="E551" s="12"/>
    </row>
    <row r="552" spans="2:5" ht="31.5">
      <c r="B552" s="111" t="s">
        <v>983</v>
      </c>
      <c r="C552" s="89" t="s">
        <v>973</v>
      </c>
      <c r="D552" s="110">
        <v>7.965</v>
      </c>
      <c r="E552" s="12"/>
    </row>
    <row r="553" spans="2:5" ht="23.25" customHeight="1">
      <c r="B553" s="111" t="s">
        <v>984</v>
      </c>
      <c r="C553" s="38" t="s">
        <v>985</v>
      </c>
      <c r="D553" s="110">
        <v>10.457</v>
      </c>
      <c r="E553" s="12"/>
    </row>
    <row r="554" spans="2:5" ht="67.5" customHeight="1">
      <c r="B554" s="111" t="s">
        <v>986</v>
      </c>
      <c r="C554" s="38" t="s">
        <v>987</v>
      </c>
      <c r="D554" s="110">
        <v>19.543</v>
      </c>
      <c r="E554" s="12"/>
    </row>
    <row r="555" spans="2:5" ht="92.25" customHeight="1">
      <c r="B555" s="111" t="s">
        <v>988</v>
      </c>
      <c r="C555" s="38" t="s">
        <v>969</v>
      </c>
      <c r="D555" s="110">
        <v>25.64</v>
      </c>
      <c r="E555" s="12"/>
    </row>
    <row r="556" spans="2:5" ht="31.5">
      <c r="B556" s="111" t="s">
        <v>989</v>
      </c>
      <c r="C556" s="38" t="s">
        <v>969</v>
      </c>
      <c r="D556" s="110">
        <v>9</v>
      </c>
      <c r="E556" s="12"/>
    </row>
    <row r="557" spans="2:5" ht="26.25" customHeight="1">
      <c r="B557" s="111" t="s">
        <v>990</v>
      </c>
      <c r="C557" s="38" t="s">
        <v>991</v>
      </c>
      <c r="D557" s="110">
        <v>12.5</v>
      </c>
      <c r="E557" s="12"/>
    </row>
    <row r="558" spans="2:5" ht="50.25" customHeight="1">
      <c r="B558" s="111" t="s">
        <v>992</v>
      </c>
      <c r="C558" s="39" t="s">
        <v>993</v>
      </c>
      <c r="D558" s="110">
        <v>4.781</v>
      </c>
      <c r="E558" s="12"/>
    </row>
    <row r="559" spans="2:5" ht="31.5">
      <c r="B559" s="111" t="s">
        <v>994</v>
      </c>
      <c r="C559" s="38" t="s">
        <v>995</v>
      </c>
      <c r="D559" s="110">
        <v>7.879</v>
      </c>
      <c r="E559" s="12"/>
    </row>
    <row r="560" spans="2:5" ht="15.75">
      <c r="B560" s="111" t="s">
        <v>996</v>
      </c>
      <c r="C560" s="38" t="s">
        <v>997</v>
      </c>
      <c r="D560" s="110">
        <v>2.999</v>
      </c>
      <c r="E560" s="12"/>
    </row>
    <row r="561" spans="2:5" ht="15.75">
      <c r="B561" s="109" t="s">
        <v>998</v>
      </c>
      <c r="C561" s="89" t="s">
        <v>949</v>
      </c>
      <c r="D561" s="110">
        <v>3</v>
      </c>
      <c r="E561" s="12"/>
    </row>
    <row r="562" spans="2:5" ht="15.75">
      <c r="B562" s="109" t="s">
        <v>999</v>
      </c>
      <c r="C562" s="89" t="s">
        <v>959</v>
      </c>
      <c r="D562" s="110">
        <v>0.712</v>
      </c>
      <c r="E562" s="12"/>
    </row>
    <row r="563" spans="2:5" ht="15.75">
      <c r="B563" s="109" t="s">
        <v>1000</v>
      </c>
      <c r="C563" s="89" t="s">
        <v>1001</v>
      </c>
      <c r="D563" s="110">
        <v>0.72</v>
      </c>
      <c r="E563" s="12"/>
    </row>
    <row r="564" spans="2:5" ht="15.75">
      <c r="B564" s="111" t="s">
        <v>1002</v>
      </c>
      <c r="C564" s="38" t="s">
        <v>771</v>
      </c>
      <c r="D564" s="110">
        <v>0.49</v>
      </c>
      <c r="E564" s="12"/>
    </row>
    <row r="565" spans="2:5" ht="15.75">
      <c r="B565" s="111" t="s">
        <v>1003</v>
      </c>
      <c r="C565" s="112" t="s">
        <v>1004</v>
      </c>
      <c r="D565" s="110">
        <v>3</v>
      </c>
      <c r="E565" s="12"/>
    </row>
    <row r="566" spans="2:5" ht="31.5">
      <c r="B566" s="111" t="s">
        <v>1005</v>
      </c>
      <c r="C566" s="112" t="s">
        <v>1004</v>
      </c>
      <c r="D566" s="110">
        <v>4.35</v>
      </c>
      <c r="E566" s="12"/>
    </row>
    <row r="567" spans="2:5" ht="15.75">
      <c r="B567" s="111" t="s">
        <v>1006</v>
      </c>
      <c r="C567" s="112" t="s">
        <v>1007</v>
      </c>
      <c r="D567" s="110">
        <v>2.73</v>
      </c>
      <c r="E567" s="12"/>
    </row>
    <row r="568" spans="2:5" ht="15.75">
      <c r="B568" s="111" t="s">
        <v>1008</v>
      </c>
      <c r="C568" s="89" t="s">
        <v>771</v>
      </c>
      <c r="D568" s="110">
        <v>1.012</v>
      </c>
      <c r="E568" s="12"/>
    </row>
    <row r="569" spans="2:5" ht="15.75">
      <c r="B569" s="111" t="s">
        <v>1009</v>
      </c>
      <c r="C569" s="89" t="s">
        <v>1001</v>
      </c>
      <c r="D569" s="110">
        <v>0.225</v>
      </c>
      <c r="E569" s="12"/>
    </row>
    <row r="570" spans="2:5" ht="15.75">
      <c r="B570" s="111" t="s">
        <v>1010</v>
      </c>
      <c r="C570" s="89" t="s">
        <v>1011</v>
      </c>
      <c r="D570" s="110">
        <v>2.005</v>
      </c>
      <c r="E570" s="12"/>
    </row>
    <row r="571" spans="2:5" ht="15.75">
      <c r="B571" s="111" t="s">
        <v>1012</v>
      </c>
      <c r="C571" s="89" t="s">
        <v>1013</v>
      </c>
      <c r="D571" s="110">
        <v>0.55</v>
      </c>
      <c r="E571" s="12"/>
    </row>
    <row r="572" spans="2:5" ht="15.75">
      <c r="B572" s="21"/>
      <c r="C572" s="23"/>
      <c r="D572" s="24">
        <f>SUM(D524:D571)</f>
        <v>345.3660000000001</v>
      </c>
      <c r="E572" s="12"/>
    </row>
    <row r="573" spans="2:4" ht="18.75">
      <c r="B573" s="250" t="s">
        <v>1024</v>
      </c>
      <c r="C573" s="250"/>
      <c r="D573" s="250"/>
    </row>
    <row r="574" spans="2:5" s="28" customFormat="1" ht="15.75">
      <c r="B574" s="21" t="s">
        <v>1071</v>
      </c>
      <c r="C574" s="293" t="s">
        <v>590</v>
      </c>
      <c r="D574" s="130">
        <v>3.6</v>
      </c>
      <c r="E574" s="21"/>
    </row>
    <row r="575" spans="2:5" s="28" customFormat="1" ht="15.75">
      <c r="B575" s="21" t="s">
        <v>1072</v>
      </c>
      <c r="C575" s="294"/>
      <c r="D575" s="130">
        <v>1.066</v>
      </c>
      <c r="E575" s="21"/>
    </row>
    <row r="576" spans="2:5" s="28" customFormat="1" ht="15.75">
      <c r="B576" s="21" t="s">
        <v>1073</v>
      </c>
      <c r="C576" s="294"/>
      <c r="D576" s="130">
        <v>11.92</v>
      </c>
      <c r="E576" s="21"/>
    </row>
    <row r="577" spans="2:5" s="28" customFormat="1" ht="15.75">
      <c r="B577" s="21" t="s">
        <v>1074</v>
      </c>
      <c r="C577" s="295"/>
      <c r="D577" s="130">
        <v>0.59</v>
      </c>
      <c r="E577" s="21"/>
    </row>
    <row r="578" spans="2:5" s="28" customFormat="1" ht="15.75">
      <c r="B578" s="40" t="s">
        <v>1023</v>
      </c>
      <c r="C578" s="102"/>
      <c r="D578" s="52">
        <v>17.176</v>
      </c>
      <c r="E578" s="21"/>
    </row>
    <row r="579" spans="2:6" ht="18.75">
      <c r="B579" s="277" t="s">
        <v>1075</v>
      </c>
      <c r="C579" s="277"/>
      <c r="D579" s="277"/>
      <c r="E579" s="277"/>
      <c r="F579" s="70"/>
    </row>
    <row r="580" spans="2:5" ht="15.75">
      <c r="B580" s="16" t="s">
        <v>1127</v>
      </c>
      <c r="C580" s="16" t="s">
        <v>1128</v>
      </c>
      <c r="D580" s="49">
        <v>0.56</v>
      </c>
      <c r="E580" s="16" t="s">
        <v>1129</v>
      </c>
    </row>
    <row r="581" spans="2:5" ht="15.75">
      <c r="B581" s="16" t="s">
        <v>1130</v>
      </c>
      <c r="C581" s="16" t="s">
        <v>1128</v>
      </c>
      <c r="D581" s="49">
        <v>0.56</v>
      </c>
      <c r="E581" s="16" t="s">
        <v>1129</v>
      </c>
    </row>
    <row r="582" spans="2:5" ht="15.75">
      <c r="B582" s="16" t="s">
        <v>1131</v>
      </c>
      <c r="C582" s="16" t="s">
        <v>1132</v>
      </c>
      <c r="D582" s="49">
        <v>0.316</v>
      </c>
      <c r="E582" s="16" t="s">
        <v>1133</v>
      </c>
    </row>
    <row r="583" spans="2:5" ht="15.75">
      <c r="B583" s="16" t="s">
        <v>1134</v>
      </c>
      <c r="C583" s="16" t="s">
        <v>1132</v>
      </c>
      <c r="D583" s="49">
        <v>2.22</v>
      </c>
      <c r="E583" s="16" t="s">
        <v>1135</v>
      </c>
    </row>
    <row r="584" spans="2:5" ht="15.75">
      <c r="B584" s="16" t="s">
        <v>1136</v>
      </c>
      <c r="C584" s="16" t="s">
        <v>1137</v>
      </c>
      <c r="D584" s="49">
        <v>1.579</v>
      </c>
      <c r="E584" s="16"/>
    </row>
    <row r="585" spans="2:5" ht="15.75">
      <c r="B585" s="16" t="s">
        <v>1138</v>
      </c>
      <c r="C585" s="16" t="s">
        <v>1139</v>
      </c>
      <c r="D585" s="49">
        <v>16.96</v>
      </c>
      <c r="E585" s="16" t="s">
        <v>1140</v>
      </c>
    </row>
    <row r="586" spans="2:5" ht="15.75">
      <c r="B586" s="16" t="s">
        <v>1141</v>
      </c>
      <c r="C586" s="16" t="s">
        <v>1137</v>
      </c>
      <c r="D586" s="49">
        <v>0.341</v>
      </c>
      <c r="E586" s="16"/>
    </row>
    <row r="587" spans="2:5" ht="15.75">
      <c r="B587" s="16" t="s">
        <v>1142</v>
      </c>
      <c r="C587" s="16" t="s">
        <v>1137</v>
      </c>
      <c r="D587" s="49">
        <v>0.617</v>
      </c>
      <c r="E587" s="16" t="s">
        <v>1133</v>
      </c>
    </row>
    <row r="588" spans="2:5" ht="15.75">
      <c r="B588" s="16" t="s">
        <v>1143</v>
      </c>
      <c r="C588" s="16" t="s">
        <v>1144</v>
      </c>
      <c r="D588" s="49">
        <v>1.5</v>
      </c>
      <c r="E588" s="16"/>
    </row>
    <row r="589" spans="2:5" ht="15.75">
      <c r="B589" s="16" t="s">
        <v>1145</v>
      </c>
      <c r="C589" s="16" t="s">
        <v>1086</v>
      </c>
      <c r="D589" s="49">
        <v>15</v>
      </c>
      <c r="E589" s="16" t="s">
        <v>1146</v>
      </c>
    </row>
    <row r="590" spans="2:5" ht="15.75">
      <c r="B590" s="16" t="s">
        <v>1147</v>
      </c>
      <c r="C590" s="16" t="s">
        <v>1137</v>
      </c>
      <c r="D590" s="49">
        <v>0.291</v>
      </c>
      <c r="E590" s="16" t="s">
        <v>1133</v>
      </c>
    </row>
    <row r="591" spans="2:5" ht="15.75">
      <c r="B591" s="16" t="s">
        <v>1148</v>
      </c>
      <c r="C591" s="16" t="s">
        <v>1144</v>
      </c>
      <c r="D591" s="49">
        <v>3.237</v>
      </c>
      <c r="E591" s="16" t="s">
        <v>1135</v>
      </c>
    </row>
    <row r="592" spans="2:5" ht="15.75">
      <c r="B592" s="16" t="s">
        <v>1149</v>
      </c>
      <c r="C592" s="16" t="s">
        <v>1132</v>
      </c>
      <c r="D592" s="49">
        <v>4.35</v>
      </c>
      <c r="E592" s="16"/>
    </row>
    <row r="593" spans="2:5" ht="15.75">
      <c r="B593" s="16" t="s">
        <v>1150</v>
      </c>
      <c r="C593" s="16" t="s">
        <v>1132</v>
      </c>
      <c r="D593" s="49">
        <v>2.73</v>
      </c>
      <c r="E593" s="16"/>
    </row>
    <row r="594" spans="2:5" ht="19.5" customHeight="1">
      <c r="B594" s="16" t="s">
        <v>1151</v>
      </c>
      <c r="C594" s="16" t="s">
        <v>1137</v>
      </c>
      <c r="D594" s="9">
        <v>11.488</v>
      </c>
      <c r="E594" s="16" t="s">
        <v>1133</v>
      </c>
    </row>
    <row r="595" spans="2:5" ht="15.75">
      <c r="B595" s="50" t="s">
        <v>1152</v>
      </c>
      <c r="C595" s="16" t="s">
        <v>1137</v>
      </c>
      <c r="D595" s="63">
        <v>2.475</v>
      </c>
      <c r="E595" s="50"/>
    </row>
    <row r="596" spans="2:5" ht="15.75">
      <c r="B596" s="50" t="s">
        <v>1084</v>
      </c>
      <c r="C596" s="50"/>
      <c r="D596" s="130">
        <f>D580+D581+D582+D583+D584+D585+D586+D587+D588+D589+D590+D591+D592+D593+D594+D595</f>
        <v>64.224</v>
      </c>
      <c r="E596" s="50"/>
    </row>
    <row r="597" spans="2:6" ht="18.75">
      <c r="B597" s="250" t="s">
        <v>1231</v>
      </c>
      <c r="C597" s="250"/>
      <c r="D597" s="250"/>
      <c r="E597" s="250"/>
      <c r="F597" s="70"/>
    </row>
    <row r="598" spans="2:5" s="28" customFormat="1" ht="15.75">
      <c r="B598" s="21" t="s">
        <v>1283</v>
      </c>
      <c r="C598" s="21" t="s">
        <v>1235</v>
      </c>
      <c r="D598" s="130">
        <v>1.815</v>
      </c>
      <c r="E598" s="21"/>
    </row>
    <row r="599" spans="2:5" s="28" customFormat="1" ht="15.75">
      <c r="B599" s="21" t="s">
        <v>1284</v>
      </c>
      <c r="C599" s="21" t="s">
        <v>1285</v>
      </c>
      <c r="D599" s="130">
        <v>1.542</v>
      </c>
      <c r="E599" s="21"/>
    </row>
    <row r="600" spans="2:5" s="28" customFormat="1" ht="15.75">
      <c r="B600" s="21" t="s">
        <v>1286</v>
      </c>
      <c r="C600" s="21" t="s">
        <v>1285</v>
      </c>
      <c r="D600" s="130">
        <v>6.168</v>
      </c>
      <c r="E600" s="21"/>
    </row>
    <row r="601" spans="2:5" s="28" customFormat="1" ht="15.75">
      <c r="B601" s="21" t="s">
        <v>1287</v>
      </c>
      <c r="C601" s="21" t="s">
        <v>1285</v>
      </c>
      <c r="D601" s="130">
        <v>16.604</v>
      </c>
      <c r="E601" s="21"/>
    </row>
    <row r="602" spans="2:5" s="28" customFormat="1" ht="15.75">
      <c r="B602" s="21" t="s">
        <v>1288</v>
      </c>
      <c r="C602" s="21" t="s">
        <v>1289</v>
      </c>
      <c r="D602" s="130">
        <v>1.614</v>
      </c>
      <c r="E602" s="21"/>
    </row>
    <row r="603" spans="2:6" ht="18.75">
      <c r="B603" s="277" t="s">
        <v>721</v>
      </c>
      <c r="C603" s="277"/>
      <c r="D603" s="277"/>
      <c r="E603" s="70"/>
      <c r="F603" s="70"/>
    </row>
    <row r="604" spans="2:5" s="28" customFormat="1" ht="15.75">
      <c r="B604" s="20" t="s">
        <v>1450</v>
      </c>
      <c r="C604" s="114" t="s">
        <v>1451</v>
      </c>
      <c r="D604" s="144">
        <v>10.168</v>
      </c>
      <c r="E604" s="21"/>
    </row>
    <row r="605" spans="2:5" s="28" customFormat="1" ht="34.5" customHeight="1">
      <c r="B605" s="20" t="s">
        <v>1452</v>
      </c>
      <c r="C605" s="114" t="s">
        <v>1453</v>
      </c>
      <c r="D605" s="145">
        <v>0.137</v>
      </c>
      <c r="E605" s="21"/>
    </row>
    <row r="606" spans="2:5" s="28" customFormat="1" ht="35.25" customHeight="1">
      <c r="B606" s="115" t="s">
        <v>1454</v>
      </c>
      <c r="C606" s="114" t="s">
        <v>1453</v>
      </c>
      <c r="D606" s="144">
        <v>0.457</v>
      </c>
      <c r="E606" s="21"/>
    </row>
    <row r="607" spans="2:5" s="28" customFormat="1" ht="34.5" customHeight="1">
      <c r="B607" s="116" t="s">
        <v>1455</v>
      </c>
      <c r="C607" s="117" t="s">
        <v>1453</v>
      </c>
      <c r="D607" s="144">
        <v>0.456</v>
      </c>
      <c r="E607" s="21"/>
    </row>
    <row r="608" spans="2:5" s="28" customFormat="1" ht="34.5" customHeight="1">
      <c r="B608" s="116" t="s">
        <v>1456</v>
      </c>
      <c r="C608" s="117" t="s">
        <v>1457</v>
      </c>
      <c r="D608" s="145">
        <v>0.398</v>
      </c>
      <c r="E608" s="21"/>
    </row>
    <row r="609" spans="2:5" s="28" customFormat="1" ht="15.75">
      <c r="B609" s="118" t="s">
        <v>1458</v>
      </c>
      <c r="C609" s="117" t="s">
        <v>1459</v>
      </c>
      <c r="D609" s="145">
        <v>4.5</v>
      </c>
      <c r="E609" s="21"/>
    </row>
    <row r="610" spans="2:5" s="28" customFormat="1" ht="15.75">
      <c r="B610" s="119" t="s">
        <v>1460</v>
      </c>
      <c r="C610" s="120" t="s">
        <v>1461</v>
      </c>
      <c r="D610" s="145">
        <v>0.35</v>
      </c>
      <c r="E610" s="21"/>
    </row>
    <row r="611" spans="2:5" s="28" customFormat="1" ht="15.75">
      <c r="B611" s="115" t="s">
        <v>1462</v>
      </c>
      <c r="C611" s="114" t="s">
        <v>1461</v>
      </c>
      <c r="D611" s="146">
        <v>0.575</v>
      </c>
      <c r="E611" s="21"/>
    </row>
    <row r="612" spans="2:5" s="28" customFormat="1" ht="31.5">
      <c r="B612" s="116" t="s">
        <v>1463</v>
      </c>
      <c r="C612" s="117" t="s">
        <v>1461</v>
      </c>
      <c r="D612" s="147">
        <v>0.31</v>
      </c>
      <c r="E612" s="21"/>
    </row>
    <row r="613" spans="2:5" s="28" customFormat="1" ht="31.5">
      <c r="B613" s="116" t="s">
        <v>1464</v>
      </c>
      <c r="C613" s="117" t="s">
        <v>1461</v>
      </c>
      <c r="D613" s="144">
        <v>0.109</v>
      </c>
      <c r="E613" s="21"/>
    </row>
    <row r="614" spans="2:5" s="28" customFormat="1" ht="15.75">
      <c r="B614" s="116" t="s">
        <v>1465</v>
      </c>
      <c r="C614" s="117" t="s">
        <v>1461</v>
      </c>
      <c r="D614" s="145">
        <v>1.596</v>
      </c>
      <c r="E614" s="21"/>
    </row>
    <row r="615" spans="2:5" s="28" customFormat="1" ht="31.5">
      <c r="B615" s="116" t="s">
        <v>1466</v>
      </c>
      <c r="C615" s="117" t="s">
        <v>1461</v>
      </c>
      <c r="D615" s="145">
        <v>0.088</v>
      </c>
      <c r="E615" s="21"/>
    </row>
    <row r="616" spans="2:5" s="28" customFormat="1" ht="31.5">
      <c r="B616" s="119" t="s">
        <v>1467</v>
      </c>
      <c r="C616" s="120" t="s">
        <v>1461</v>
      </c>
      <c r="D616" s="148">
        <v>0.088</v>
      </c>
      <c r="E616" s="21"/>
    </row>
    <row r="617" spans="2:5" s="28" customFormat="1" ht="31.5">
      <c r="B617" s="115" t="s">
        <v>1468</v>
      </c>
      <c r="C617" s="114" t="s">
        <v>1461</v>
      </c>
      <c r="D617" s="144">
        <v>0.059</v>
      </c>
      <c r="E617" s="21"/>
    </row>
    <row r="618" spans="2:5" s="28" customFormat="1" ht="15.75">
      <c r="B618" s="271" t="s">
        <v>1469</v>
      </c>
      <c r="C618" s="273" t="s">
        <v>1461</v>
      </c>
      <c r="D618" s="275">
        <v>0.059</v>
      </c>
      <c r="E618" s="21"/>
    </row>
    <row r="619" spans="2:5" s="28" customFormat="1" ht="15.75">
      <c r="B619" s="272"/>
      <c r="C619" s="274"/>
      <c r="D619" s="276"/>
      <c r="E619" s="21"/>
    </row>
    <row r="620" spans="2:5" s="28" customFormat="1" ht="31.5">
      <c r="B620" s="115" t="s">
        <v>1470</v>
      </c>
      <c r="C620" s="117" t="s">
        <v>1461</v>
      </c>
      <c r="D620" s="145">
        <v>0.029</v>
      </c>
      <c r="E620" s="21"/>
    </row>
    <row r="621" spans="2:5" s="28" customFormat="1" ht="15.75">
      <c r="B621" s="115" t="s">
        <v>1471</v>
      </c>
      <c r="C621" s="114" t="s">
        <v>1461</v>
      </c>
      <c r="D621" s="144">
        <v>0.93</v>
      </c>
      <c r="E621" s="21"/>
    </row>
    <row r="622" spans="2:5" s="28" customFormat="1" ht="15.75">
      <c r="B622" s="116" t="s">
        <v>1472</v>
      </c>
      <c r="C622" s="117" t="s">
        <v>1461</v>
      </c>
      <c r="D622" s="145">
        <v>0.149</v>
      </c>
      <c r="E622" s="21"/>
    </row>
    <row r="623" spans="2:5" s="28" customFormat="1" ht="15.75">
      <c r="B623" s="116" t="s">
        <v>1473</v>
      </c>
      <c r="C623" s="117" t="s">
        <v>1461</v>
      </c>
      <c r="D623" s="145">
        <v>0.108</v>
      </c>
      <c r="E623" s="21"/>
    </row>
    <row r="624" spans="2:5" s="28" customFormat="1" ht="15.75">
      <c r="B624" s="116" t="s">
        <v>1474</v>
      </c>
      <c r="C624" s="117" t="s">
        <v>1461</v>
      </c>
      <c r="D624" s="145">
        <v>0.108</v>
      </c>
      <c r="E624" s="21"/>
    </row>
    <row r="625" spans="2:5" s="28" customFormat="1" ht="15.75">
      <c r="B625" s="116" t="s">
        <v>1475</v>
      </c>
      <c r="C625" s="117" t="s">
        <v>1461</v>
      </c>
      <c r="D625" s="147">
        <v>0.151</v>
      </c>
      <c r="E625" s="21"/>
    </row>
    <row r="626" spans="2:5" s="28" customFormat="1" ht="15.75">
      <c r="B626" s="116" t="s">
        <v>1476</v>
      </c>
      <c r="C626" s="117" t="s">
        <v>1477</v>
      </c>
      <c r="D626" s="147">
        <v>0.151</v>
      </c>
      <c r="E626" s="21"/>
    </row>
    <row r="627" spans="2:5" s="28" customFormat="1" ht="15.75">
      <c r="B627" s="116" t="s">
        <v>1478</v>
      </c>
      <c r="C627" s="120" t="s">
        <v>1461</v>
      </c>
      <c r="D627" s="151">
        <v>0.097</v>
      </c>
      <c r="E627" s="21"/>
    </row>
    <row r="628" spans="2:5" s="28" customFormat="1" ht="31.5">
      <c r="B628" s="115" t="s">
        <v>1479</v>
      </c>
      <c r="C628" s="114" t="s">
        <v>1461</v>
      </c>
      <c r="D628" s="146">
        <v>0.417</v>
      </c>
      <c r="E628" s="21"/>
    </row>
    <row r="629" spans="2:5" s="28" customFormat="1" ht="15.75">
      <c r="B629" s="115" t="s">
        <v>1480</v>
      </c>
      <c r="C629" s="114" t="s">
        <v>1461</v>
      </c>
      <c r="D629" s="146">
        <v>0.338</v>
      </c>
      <c r="E629" s="21"/>
    </row>
    <row r="630" spans="2:5" s="28" customFormat="1" ht="15.75">
      <c r="B630" s="116" t="s">
        <v>1481</v>
      </c>
      <c r="C630" s="120" t="s">
        <v>1461</v>
      </c>
      <c r="D630" s="151">
        <v>0.3</v>
      </c>
      <c r="E630" s="21"/>
    </row>
    <row r="631" spans="2:5" s="28" customFormat="1" ht="15.75">
      <c r="B631" s="116" t="s">
        <v>1482</v>
      </c>
      <c r="C631" s="114" t="s">
        <v>1461</v>
      </c>
      <c r="D631" s="146">
        <v>0.25</v>
      </c>
      <c r="E631" s="21"/>
    </row>
    <row r="632" spans="2:5" s="28" customFormat="1" ht="15.75">
      <c r="B632" s="119" t="s">
        <v>1483</v>
      </c>
      <c r="C632" s="120" t="s">
        <v>1461</v>
      </c>
      <c r="D632" s="151">
        <v>0.139</v>
      </c>
      <c r="E632" s="21"/>
    </row>
    <row r="633" spans="2:5" s="28" customFormat="1" ht="15.75">
      <c r="B633" s="68" t="s">
        <v>684</v>
      </c>
      <c r="C633" s="114" t="s">
        <v>1461</v>
      </c>
      <c r="D633" s="146">
        <v>0.064</v>
      </c>
      <c r="E633" s="21"/>
    </row>
    <row r="634" spans="2:5" s="28" customFormat="1" ht="15.75">
      <c r="B634" s="115" t="s">
        <v>1484</v>
      </c>
      <c r="C634" s="114" t="s">
        <v>1461</v>
      </c>
      <c r="D634" s="146">
        <v>0.104</v>
      </c>
      <c r="E634" s="21"/>
    </row>
    <row r="635" spans="2:5" s="28" customFormat="1" ht="16.5" customHeight="1">
      <c r="B635" s="115" t="s">
        <v>1485</v>
      </c>
      <c r="C635" s="114" t="s">
        <v>1461</v>
      </c>
      <c r="D635" s="146">
        <v>0.033</v>
      </c>
      <c r="E635" s="21"/>
    </row>
    <row r="636" spans="2:5" s="28" customFormat="1" ht="18.75" customHeight="1">
      <c r="B636" s="116" t="s">
        <v>604</v>
      </c>
      <c r="C636" s="117" t="s">
        <v>1461</v>
      </c>
      <c r="D636" s="147">
        <v>0.217</v>
      </c>
      <c r="E636" s="21"/>
    </row>
    <row r="637" spans="2:5" s="28" customFormat="1" ht="35.25" customHeight="1">
      <c r="B637" s="119" t="s">
        <v>605</v>
      </c>
      <c r="C637" s="120" t="s">
        <v>1461</v>
      </c>
      <c r="D637" s="151">
        <v>0.12</v>
      </c>
      <c r="E637" s="21"/>
    </row>
    <row r="638" spans="2:5" s="28" customFormat="1" ht="37.5" customHeight="1">
      <c r="B638" s="115" t="s">
        <v>606</v>
      </c>
      <c r="C638" s="114" t="s">
        <v>1461</v>
      </c>
      <c r="D638" s="146">
        <v>0.12</v>
      </c>
      <c r="E638" s="21"/>
    </row>
    <row r="639" spans="2:5" s="28" customFormat="1" ht="24.75" customHeight="1">
      <c r="B639" s="115" t="s">
        <v>607</v>
      </c>
      <c r="C639" s="114" t="s">
        <v>1461</v>
      </c>
      <c r="D639" s="146">
        <v>2.432</v>
      </c>
      <c r="E639" s="21"/>
    </row>
    <row r="640" spans="2:5" s="28" customFormat="1" ht="15.75">
      <c r="B640" s="115" t="s">
        <v>608</v>
      </c>
      <c r="C640" s="114" t="s">
        <v>1461</v>
      </c>
      <c r="D640" s="146">
        <v>0.074</v>
      </c>
      <c r="E640" s="21"/>
    </row>
    <row r="641" spans="2:5" s="28" customFormat="1" ht="15.75">
      <c r="B641" s="115" t="s">
        <v>609</v>
      </c>
      <c r="C641" s="114" t="s">
        <v>1461</v>
      </c>
      <c r="D641" s="146">
        <v>0.114</v>
      </c>
      <c r="E641" s="21"/>
    </row>
    <row r="642" spans="2:5" s="28" customFormat="1" ht="15.75">
      <c r="B642" s="116" t="s">
        <v>610</v>
      </c>
      <c r="C642" s="117" t="s">
        <v>1461</v>
      </c>
      <c r="D642" s="147">
        <v>0.027</v>
      </c>
      <c r="E642" s="21"/>
    </row>
    <row r="643" spans="2:5" s="28" customFormat="1" ht="15.75">
      <c r="B643" s="115" t="s">
        <v>611</v>
      </c>
      <c r="C643" s="114" t="s">
        <v>1461</v>
      </c>
      <c r="D643" s="147">
        <v>0.082</v>
      </c>
      <c r="E643" s="21"/>
    </row>
    <row r="644" spans="2:5" s="28" customFormat="1" ht="15.75">
      <c r="B644" s="119" t="s">
        <v>612</v>
      </c>
      <c r="C644" s="120" t="s">
        <v>613</v>
      </c>
      <c r="D644" s="151">
        <v>0.008</v>
      </c>
      <c r="E644" s="21"/>
    </row>
    <row r="645" spans="2:5" s="28" customFormat="1" ht="15.75">
      <c r="B645" s="115" t="s">
        <v>614</v>
      </c>
      <c r="C645" s="114" t="s">
        <v>613</v>
      </c>
      <c r="D645" s="146">
        <v>0.012</v>
      </c>
      <c r="E645" s="21"/>
    </row>
    <row r="646" spans="2:5" s="28" customFormat="1" ht="17.25" customHeight="1">
      <c r="B646" s="115" t="s">
        <v>615</v>
      </c>
      <c r="C646" s="114" t="s">
        <v>613</v>
      </c>
      <c r="D646" s="146">
        <v>0.096</v>
      </c>
      <c r="E646" s="21"/>
    </row>
    <row r="647" spans="2:5" s="28" customFormat="1" ht="15.75">
      <c r="B647" s="116" t="s">
        <v>616</v>
      </c>
      <c r="C647" s="117" t="s">
        <v>613</v>
      </c>
      <c r="D647" s="145">
        <v>0.141</v>
      </c>
      <c r="E647" s="21"/>
    </row>
    <row r="648" spans="2:5" s="28" customFormat="1" ht="15.75">
      <c r="B648" s="116" t="s">
        <v>617</v>
      </c>
      <c r="C648" s="117" t="s">
        <v>618</v>
      </c>
      <c r="D648" s="145">
        <v>19</v>
      </c>
      <c r="E648" s="21"/>
    </row>
    <row r="649" spans="2:5" s="28" customFormat="1" ht="15.75">
      <c r="B649" s="116" t="s">
        <v>619</v>
      </c>
      <c r="C649" s="117" t="s">
        <v>618</v>
      </c>
      <c r="D649" s="145">
        <v>23.25</v>
      </c>
      <c r="E649" s="21"/>
    </row>
    <row r="650" spans="2:5" s="28" customFormat="1" ht="15.75">
      <c r="B650" s="115" t="s">
        <v>620</v>
      </c>
      <c r="C650" s="117" t="s">
        <v>621</v>
      </c>
      <c r="D650" s="145">
        <v>0.432</v>
      </c>
      <c r="E650" s="21"/>
    </row>
    <row r="651" spans="2:5" s="28" customFormat="1" ht="15.75">
      <c r="B651" s="119" t="s">
        <v>622</v>
      </c>
      <c r="C651" s="120" t="s">
        <v>621</v>
      </c>
      <c r="D651" s="145">
        <v>0.135</v>
      </c>
      <c r="E651" s="21"/>
    </row>
    <row r="652" spans="2:5" s="28" customFormat="1" ht="15.75">
      <c r="B652" s="115" t="s">
        <v>623</v>
      </c>
      <c r="C652" s="114" t="s">
        <v>621</v>
      </c>
      <c r="D652" s="146">
        <v>0.19</v>
      </c>
      <c r="E652" s="21"/>
    </row>
    <row r="653" spans="2:5" s="28" customFormat="1" ht="15.75">
      <c r="B653" s="116" t="s">
        <v>624</v>
      </c>
      <c r="C653" s="117" t="s">
        <v>621</v>
      </c>
      <c r="D653" s="147">
        <v>0.575</v>
      </c>
      <c r="E653" s="21"/>
    </row>
    <row r="654" spans="2:5" s="28" customFormat="1" ht="15.75">
      <c r="B654" s="116" t="s">
        <v>625</v>
      </c>
      <c r="C654" s="117" t="s">
        <v>621</v>
      </c>
      <c r="D654" s="147">
        <v>0.36</v>
      </c>
      <c r="E654" s="21"/>
    </row>
    <row r="655" spans="2:5" s="28" customFormat="1" ht="15.75">
      <c r="B655" s="119" t="s">
        <v>626</v>
      </c>
      <c r="C655" s="120" t="s">
        <v>621</v>
      </c>
      <c r="D655" s="150">
        <v>0.4</v>
      </c>
      <c r="E655" s="21"/>
    </row>
    <row r="656" spans="2:5" s="28" customFormat="1" ht="15.75">
      <c r="B656" s="115" t="s">
        <v>685</v>
      </c>
      <c r="C656" s="114" t="s">
        <v>621</v>
      </c>
      <c r="D656" s="144">
        <v>0.1</v>
      </c>
      <c r="E656" s="21"/>
    </row>
    <row r="657" spans="2:5" s="28" customFormat="1" ht="15.75">
      <c r="B657" s="119" t="s">
        <v>686</v>
      </c>
      <c r="C657" s="120" t="s">
        <v>621</v>
      </c>
      <c r="D657" s="145">
        <v>0.19</v>
      </c>
      <c r="E657" s="21"/>
    </row>
    <row r="658" spans="2:5" s="28" customFormat="1" ht="15.75">
      <c r="B658" s="115" t="s">
        <v>687</v>
      </c>
      <c r="C658" s="114" t="s">
        <v>688</v>
      </c>
      <c r="D658" s="147">
        <v>0.9</v>
      </c>
      <c r="E658" s="21"/>
    </row>
    <row r="659" spans="2:5" s="28" customFormat="1" ht="15.75">
      <c r="B659" s="116" t="s">
        <v>689</v>
      </c>
      <c r="C659" s="117" t="s">
        <v>688</v>
      </c>
      <c r="D659" s="144">
        <v>0.45</v>
      </c>
      <c r="E659" s="21"/>
    </row>
    <row r="660" spans="2:5" s="28" customFormat="1" ht="15.75">
      <c r="B660" s="116" t="s">
        <v>690</v>
      </c>
      <c r="C660" s="117" t="s">
        <v>688</v>
      </c>
      <c r="D660" s="145">
        <v>0.65</v>
      </c>
      <c r="E660" s="21"/>
    </row>
    <row r="661" spans="2:5" s="28" customFormat="1" ht="15.75">
      <c r="B661" s="119" t="s">
        <v>691</v>
      </c>
      <c r="C661" s="120" t="s">
        <v>692</v>
      </c>
      <c r="D661" s="150">
        <v>0.252</v>
      </c>
      <c r="E661" s="21"/>
    </row>
    <row r="662" spans="2:5" s="28" customFormat="1" ht="15.75">
      <c r="B662" s="115" t="s">
        <v>693</v>
      </c>
      <c r="C662" s="114" t="s">
        <v>692</v>
      </c>
      <c r="D662" s="144">
        <v>0.03</v>
      </c>
      <c r="E662" s="21"/>
    </row>
    <row r="663" spans="2:5" s="28" customFormat="1" ht="15.75">
      <c r="B663" s="116" t="s">
        <v>694</v>
      </c>
      <c r="C663" s="117" t="s">
        <v>692</v>
      </c>
      <c r="D663" s="147">
        <v>0.216</v>
      </c>
      <c r="E663" s="21"/>
    </row>
    <row r="664" spans="2:5" s="28" customFormat="1" ht="15.75">
      <c r="B664" s="115" t="s">
        <v>695</v>
      </c>
      <c r="C664" s="114" t="s">
        <v>688</v>
      </c>
      <c r="D664" s="146">
        <v>0.36</v>
      </c>
      <c r="E664" s="21"/>
    </row>
    <row r="665" spans="2:5" s="28" customFormat="1" ht="15.75">
      <c r="B665" s="116" t="s">
        <v>696</v>
      </c>
      <c r="C665" s="117" t="s">
        <v>688</v>
      </c>
      <c r="D665" s="147">
        <v>1.24</v>
      </c>
      <c r="E665" s="21"/>
    </row>
    <row r="666" spans="2:5" s="28" customFormat="1" ht="15.75">
      <c r="B666" s="116" t="s">
        <v>697</v>
      </c>
      <c r="C666" s="117" t="s">
        <v>688</v>
      </c>
      <c r="D666" s="147">
        <v>0.175</v>
      </c>
      <c r="E666" s="21"/>
    </row>
    <row r="667" spans="2:5" s="28" customFormat="1" ht="15.75">
      <c r="B667" s="116" t="s">
        <v>698</v>
      </c>
      <c r="C667" s="117" t="s">
        <v>688</v>
      </c>
      <c r="D667" s="145">
        <v>0.24</v>
      </c>
      <c r="E667" s="21"/>
    </row>
    <row r="668" spans="2:5" s="28" customFormat="1" ht="15.75">
      <c r="B668" s="119" t="s">
        <v>699</v>
      </c>
      <c r="C668" s="120" t="s">
        <v>688</v>
      </c>
      <c r="D668" s="145">
        <v>0.9</v>
      </c>
      <c r="E668" s="21"/>
    </row>
    <row r="669" spans="2:5" s="28" customFormat="1" ht="15.75">
      <c r="B669" s="115" t="s">
        <v>700</v>
      </c>
      <c r="C669" s="114" t="s">
        <v>701</v>
      </c>
      <c r="D669" s="150">
        <v>3.6</v>
      </c>
      <c r="E669" s="21"/>
    </row>
    <row r="670" spans="2:5" s="28" customFormat="1" ht="15.75">
      <c r="B670" s="116" t="s">
        <v>702</v>
      </c>
      <c r="C670" s="117" t="s">
        <v>701</v>
      </c>
      <c r="D670" s="144">
        <v>1.35</v>
      </c>
      <c r="E670" s="21"/>
    </row>
    <row r="671" spans="2:5" s="28" customFormat="1" ht="15.75">
      <c r="B671" s="116" t="s">
        <v>703</v>
      </c>
      <c r="C671" s="117" t="s">
        <v>701</v>
      </c>
      <c r="D671" s="145">
        <v>0.63</v>
      </c>
      <c r="E671" s="21"/>
    </row>
    <row r="672" spans="2:5" s="28" customFormat="1" ht="15.75">
      <c r="B672" s="116" t="s">
        <v>704</v>
      </c>
      <c r="C672" s="117" t="s">
        <v>701</v>
      </c>
      <c r="D672" s="145">
        <v>1.25</v>
      </c>
      <c r="E672" s="21"/>
    </row>
    <row r="673" spans="2:5" s="28" customFormat="1" ht="15.75">
      <c r="B673" s="115" t="s">
        <v>705</v>
      </c>
      <c r="C673" s="120" t="s">
        <v>701</v>
      </c>
      <c r="D673" s="150">
        <v>0.3</v>
      </c>
      <c r="E673" s="21"/>
    </row>
    <row r="674" spans="2:5" s="28" customFormat="1" ht="15.75">
      <c r="B674" s="116" t="s">
        <v>706</v>
      </c>
      <c r="C674" s="114" t="s">
        <v>701</v>
      </c>
      <c r="D674" s="144">
        <v>0.17</v>
      </c>
      <c r="E674" s="21"/>
    </row>
    <row r="675" spans="2:5" s="28" customFormat="1" ht="15.75">
      <c r="B675" s="116" t="s">
        <v>707</v>
      </c>
      <c r="C675" s="117" t="s">
        <v>701</v>
      </c>
      <c r="D675" s="145">
        <v>0.18</v>
      </c>
      <c r="E675" s="21"/>
    </row>
    <row r="676" spans="2:5" s="28" customFormat="1" ht="15.75">
      <c r="B676" s="121" t="s">
        <v>708</v>
      </c>
      <c r="C676" s="122" t="s">
        <v>618</v>
      </c>
      <c r="D676" s="152">
        <v>15</v>
      </c>
      <c r="E676" s="21"/>
    </row>
    <row r="677" spans="2:5" s="28" customFormat="1" ht="15.75">
      <c r="B677" s="121" t="s">
        <v>709</v>
      </c>
      <c r="C677" s="123" t="s">
        <v>618</v>
      </c>
      <c r="D677" s="153">
        <v>10</v>
      </c>
      <c r="E677" s="21"/>
    </row>
    <row r="678" spans="2:5" s="28" customFormat="1" ht="15.75">
      <c r="B678" s="124" t="s">
        <v>710</v>
      </c>
      <c r="C678" s="122" t="s">
        <v>618</v>
      </c>
      <c r="D678" s="152">
        <v>9</v>
      </c>
      <c r="E678" s="21"/>
    </row>
    <row r="679" spans="2:5" s="28" customFormat="1" ht="15.75">
      <c r="B679" s="125" t="s">
        <v>711</v>
      </c>
      <c r="C679" s="123" t="s">
        <v>618</v>
      </c>
      <c r="D679" s="153">
        <v>8.1</v>
      </c>
      <c r="E679" s="21"/>
    </row>
    <row r="680" spans="2:5" s="28" customFormat="1" ht="15.75">
      <c r="B680" s="125" t="s">
        <v>712</v>
      </c>
      <c r="C680" s="122" t="s">
        <v>618</v>
      </c>
      <c r="D680" s="152">
        <v>11.7</v>
      </c>
      <c r="E680" s="21"/>
    </row>
    <row r="681" spans="2:5" s="28" customFormat="1" ht="15.75">
      <c r="B681" s="125" t="s">
        <v>713</v>
      </c>
      <c r="C681" s="123" t="s">
        <v>618</v>
      </c>
      <c r="D681" s="153">
        <v>5.6</v>
      </c>
      <c r="E681" s="21"/>
    </row>
    <row r="682" spans="2:5" s="28" customFormat="1" ht="15.75">
      <c r="B682" s="124" t="s">
        <v>714</v>
      </c>
      <c r="C682" s="122" t="s">
        <v>618</v>
      </c>
      <c r="D682" s="152">
        <v>5.7</v>
      </c>
      <c r="E682" s="21"/>
    </row>
    <row r="683" spans="2:5" s="28" customFormat="1" ht="15.75">
      <c r="B683" s="126" t="s">
        <v>715</v>
      </c>
      <c r="C683" s="127" t="s">
        <v>618</v>
      </c>
      <c r="D683" s="153">
        <v>2.3</v>
      </c>
      <c r="E683" s="21"/>
    </row>
    <row r="684" spans="2:5" s="28" customFormat="1" ht="15.75">
      <c r="B684" s="125" t="s">
        <v>716</v>
      </c>
      <c r="C684" s="123" t="s">
        <v>618</v>
      </c>
      <c r="D684" s="153">
        <v>3.8</v>
      </c>
      <c r="E684" s="21"/>
    </row>
    <row r="685" spans="2:5" s="28" customFormat="1" ht="15.75">
      <c r="B685" s="116" t="s">
        <v>717</v>
      </c>
      <c r="C685" s="117" t="s">
        <v>718</v>
      </c>
      <c r="D685" s="154">
        <v>8.4</v>
      </c>
      <c r="E685" s="21"/>
    </row>
    <row r="686" spans="2:5" s="28" customFormat="1" ht="15.75">
      <c r="B686" s="119" t="s">
        <v>719</v>
      </c>
      <c r="C686" s="120" t="s">
        <v>720</v>
      </c>
      <c r="D686" s="145">
        <v>4.82</v>
      </c>
      <c r="E686" s="21"/>
    </row>
    <row r="687" spans="2:5" s="28" customFormat="1" ht="15.75">
      <c r="B687" s="68"/>
      <c r="C687" s="69"/>
      <c r="D687" s="155">
        <f>SUM(D604:D686)</f>
        <v>168.106</v>
      </c>
      <c r="E687" s="21"/>
    </row>
    <row r="689" spans="2:5" ht="15.75">
      <c r="B689" s="230" t="s">
        <v>240</v>
      </c>
      <c r="C689" s="230"/>
      <c r="D689" s="230"/>
      <c r="E689" s="230"/>
    </row>
    <row r="690" spans="2:5" ht="31.5">
      <c r="B690" s="171" t="s">
        <v>475</v>
      </c>
      <c r="C690" s="171" t="s">
        <v>212</v>
      </c>
      <c r="D690" s="172">
        <v>13</v>
      </c>
      <c r="E690" s="102"/>
    </row>
    <row r="691" spans="2:5" ht="15.75">
      <c r="B691" s="171" t="s">
        <v>476</v>
      </c>
      <c r="C691" s="171" t="s">
        <v>19</v>
      </c>
      <c r="D691" s="172">
        <v>1.2</v>
      </c>
      <c r="E691" s="102"/>
    </row>
    <row r="692" spans="2:5" ht="15.75">
      <c r="B692" s="171" t="s">
        <v>477</v>
      </c>
      <c r="C692" s="171" t="s">
        <v>19</v>
      </c>
      <c r="D692" s="172">
        <v>5.408</v>
      </c>
      <c r="E692" s="102"/>
    </row>
    <row r="693" spans="2:5" ht="15.75">
      <c r="B693" s="160" t="s">
        <v>478</v>
      </c>
      <c r="C693" s="171" t="s">
        <v>794</v>
      </c>
      <c r="D693" s="213">
        <v>2.61276</v>
      </c>
      <c r="E693" s="102"/>
    </row>
    <row r="694" spans="2:5" ht="31.5">
      <c r="B694" s="160" t="s">
        <v>479</v>
      </c>
      <c r="C694" s="171" t="s">
        <v>794</v>
      </c>
      <c r="D694" s="213">
        <v>1.90476</v>
      </c>
      <c r="E694" s="102"/>
    </row>
    <row r="695" spans="2:5" ht="18.75" customHeight="1">
      <c r="B695" s="160" t="s">
        <v>480</v>
      </c>
      <c r="C695" s="171" t="s">
        <v>794</v>
      </c>
      <c r="D695" s="213">
        <v>1.40952</v>
      </c>
      <c r="E695" s="102"/>
    </row>
    <row r="696" spans="2:5" ht="31.5">
      <c r="B696" s="160" t="s">
        <v>481</v>
      </c>
      <c r="C696" s="171" t="s">
        <v>794</v>
      </c>
      <c r="D696" s="213">
        <v>2.499</v>
      </c>
      <c r="E696" s="102"/>
    </row>
    <row r="697" spans="2:5" ht="15.75">
      <c r="B697" s="199" t="s">
        <v>1407</v>
      </c>
      <c r="C697" s="197"/>
      <c r="D697" s="214">
        <f>SUM(D690:D696)</f>
        <v>28.03404</v>
      </c>
      <c r="E697" s="102"/>
    </row>
    <row r="698" spans="2:5" ht="15.75">
      <c r="B698" s="230" t="s">
        <v>188</v>
      </c>
      <c r="C698" s="230"/>
      <c r="D698" s="230"/>
      <c r="E698" s="230"/>
    </row>
    <row r="699" spans="2:5" ht="15.75">
      <c r="B699" s="171" t="s">
        <v>482</v>
      </c>
      <c r="C699" s="171" t="s">
        <v>483</v>
      </c>
      <c r="D699" s="172">
        <v>0.75</v>
      </c>
      <c r="E699" s="102"/>
    </row>
    <row r="700" spans="2:5" ht="15.75">
      <c r="B700" s="171" t="s">
        <v>484</v>
      </c>
      <c r="C700" s="171" t="s">
        <v>947</v>
      </c>
      <c r="D700" s="172">
        <v>4.75</v>
      </c>
      <c r="E700" s="102"/>
    </row>
    <row r="701" spans="2:5" ht="15.75">
      <c r="B701" s="171" t="s">
        <v>485</v>
      </c>
      <c r="C701" s="171" t="s">
        <v>778</v>
      </c>
      <c r="D701" s="172">
        <v>0.779</v>
      </c>
      <c r="E701" s="102"/>
    </row>
    <row r="702" spans="2:5" ht="15.75">
      <c r="B702" s="171" t="s">
        <v>486</v>
      </c>
      <c r="C702" s="171" t="s">
        <v>778</v>
      </c>
      <c r="D702" s="172">
        <v>4.984</v>
      </c>
      <c r="E702" s="102"/>
    </row>
    <row r="703" spans="2:5" ht="15.75">
      <c r="B703" s="171" t="s">
        <v>487</v>
      </c>
      <c r="C703" s="171" t="s">
        <v>19</v>
      </c>
      <c r="D703" s="172">
        <v>4.8</v>
      </c>
      <c r="E703" s="102"/>
    </row>
    <row r="704" spans="2:5" ht="15.75">
      <c r="B704" s="171" t="s">
        <v>488</v>
      </c>
      <c r="C704" s="171" t="s">
        <v>19</v>
      </c>
      <c r="D704" s="172">
        <v>14.3</v>
      </c>
      <c r="E704" s="102"/>
    </row>
    <row r="705" spans="2:5" ht="15.75">
      <c r="B705" s="199" t="s">
        <v>1407</v>
      </c>
      <c r="C705" s="197"/>
      <c r="D705" s="214">
        <f>SUM(D699:D704)</f>
        <v>30.363</v>
      </c>
      <c r="E705" s="102"/>
    </row>
    <row r="706" spans="2:5" ht="15.75">
      <c r="B706" s="230" t="s">
        <v>168</v>
      </c>
      <c r="C706" s="230"/>
      <c r="D706" s="230"/>
      <c r="E706" s="230"/>
    </row>
    <row r="707" spans="2:5" ht="15.75">
      <c r="B707" s="177" t="s">
        <v>489</v>
      </c>
      <c r="C707" s="177" t="s">
        <v>184</v>
      </c>
      <c r="D707" s="178">
        <v>11.96</v>
      </c>
      <c r="E707" s="102"/>
    </row>
    <row r="708" spans="2:5" ht="15.75">
      <c r="B708" s="177" t="s">
        <v>490</v>
      </c>
      <c r="C708" s="177" t="s">
        <v>116</v>
      </c>
      <c r="D708" s="178">
        <v>0.396</v>
      </c>
      <c r="E708" s="102"/>
    </row>
    <row r="709" spans="2:5" ht="15.75">
      <c r="B709" s="177" t="s">
        <v>491</v>
      </c>
      <c r="C709" s="177" t="s">
        <v>116</v>
      </c>
      <c r="D709" s="178">
        <v>0.4</v>
      </c>
      <c r="E709" s="102"/>
    </row>
    <row r="710" spans="2:5" ht="15.75">
      <c r="B710" s="177" t="s">
        <v>492</v>
      </c>
      <c r="C710" s="177" t="s">
        <v>116</v>
      </c>
      <c r="D710" s="178">
        <v>2.608</v>
      </c>
      <c r="E710" s="102"/>
    </row>
    <row r="711" spans="2:5" ht="15.75">
      <c r="B711" s="177" t="s">
        <v>493</v>
      </c>
      <c r="C711" s="177" t="s">
        <v>116</v>
      </c>
      <c r="D711" s="178">
        <v>6.966</v>
      </c>
      <c r="E711" s="102"/>
    </row>
    <row r="712" spans="2:5" ht="15.75">
      <c r="B712" s="102" t="s">
        <v>494</v>
      </c>
      <c r="C712" s="177" t="s">
        <v>495</v>
      </c>
      <c r="D712" s="178">
        <v>0.16</v>
      </c>
      <c r="E712" s="102"/>
    </row>
    <row r="713" spans="2:5" ht="15.75">
      <c r="B713" s="102" t="s">
        <v>496</v>
      </c>
      <c r="C713" s="177" t="s">
        <v>495</v>
      </c>
      <c r="D713" s="178">
        <v>0.18</v>
      </c>
      <c r="E713" s="102"/>
    </row>
    <row r="714" spans="2:5" ht="15.75">
      <c r="B714" s="199" t="s">
        <v>1407</v>
      </c>
      <c r="C714" s="197"/>
      <c r="D714" s="201">
        <f>SUM(D707:D713)</f>
        <v>22.67</v>
      </c>
      <c r="E714" s="102"/>
    </row>
    <row r="715" spans="2:5" ht="15.75">
      <c r="B715" s="230" t="s">
        <v>497</v>
      </c>
      <c r="C715" s="230"/>
      <c r="D715" s="230"/>
      <c r="E715" s="230"/>
    </row>
    <row r="716" spans="2:5" ht="15.75">
      <c r="B716" s="177" t="s">
        <v>498</v>
      </c>
      <c r="C716" s="177" t="s">
        <v>973</v>
      </c>
      <c r="D716" s="140">
        <v>0.228</v>
      </c>
      <c r="E716" s="102"/>
    </row>
    <row r="717" spans="2:5" ht="15.75">
      <c r="B717" s="102" t="s">
        <v>499</v>
      </c>
      <c r="C717" s="177" t="s">
        <v>973</v>
      </c>
      <c r="D717" s="140">
        <v>0.754</v>
      </c>
      <c r="E717" s="102"/>
    </row>
    <row r="718" spans="2:5" ht="15.75">
      <c r="B718" s="102" t="s">
        <v>500</v>
      </c>
      <c r="C718" s="177" t="s">
        <v>973</v>
      </c>
      <c r="D718" s="140">
        <v>1.6</v>
      </c>
      <c r="E718" s="102"/>
    </row>
    <row r="719" spans="2:5" ht="15.75">
      <c r="B719" s="102" t="s">
        <v>501</v>
      </c>
      <c r="C719" s="177" t="s">
        <v>973</v>
      </c>
      <c r="D719" s="140">
        <v>2.4</v>
      </c>
      <c r="E719" s="102"/>
    </row>
    <row r="720" spans="2:5" ht="15.75">
      <c r="B720" s="102" t="s">
        <v>502</v>
      </c>
      <c r="C720" s="177" t="s">
        <v>503</v>
      </c>
      <c r="D720" s="140">
        <v>2.29</v>
      </c>
      <c r="E720" s="102"/>
    </row>
    <row r="721" spans="2:5" ht="15.75">
      <c r="B721" s="199" t="s">
        <v>1407</v>
      </c>
      <c r="C721" s="197"/>
      <c r="D721" s="201">
        <f>SUM(D716:D720)</f>
        <v>7.271999999999999</v>
      </c>
      <c r="E721" s="102"/>
    </row>
    <row r="722" spans="2:5" ht="15.75">
      <c r="B722" s="230" t="s">
        <v>504</v>
      </c>
      <c r="C722" s="230"/>
      <c r="D722" s="230"/>
      <c r="E722" s="230"/>
    </row>
    <row r="723" spans="2:5" ht="15.75">
      <c r="B723" s="102" t="s">
        <v>505</v>
      </c>
      <c r="C723" s="177" t="s">
        <v>101</v>
      </c>
      <c r="D723" s="178">
        <v>0.55</v>
      </c>
      <c r="E723" s="102"/>
    </row>
    <row r="724" spans="2:5" ht="15.75">
      <c r="B724" s="102" t="s">
        <v>506</v>
      </c>
      <c r="C724" s="177" t="s">
        <v>26</v>
      </c>
      <c r="D724" s="178">
        <f>1.465*3</f>
        <v>4.3950000000000005</v>
      </c>
      <c r="E724" s="102"/>
    </row>
    <row r="725" spans="2:5" ht="15.75">
      <c r="B725" s="102" t="s">
        <v>507</v>
      </c>
      <c r="C725" s="177" t="s">
        <v>101</v>
      </c>
      <c r="D725" s="178">
        <v>1.81</v>
      </c>
      <c r="E725" s="102"/>
    </row>
    <row r="726" spans="2:5" ht="15.75">
      <c r="B726" s="102" t="s">
        <v>508</v>
      </c>
      <c r="C726" s="177" t="s">
        <v>101</v>
      </c>
      <c r="D726" s="178">
        <v>2.4</v>
      </c>
      <c r="E726" s="102"/>
    </row>
    <row r="727" spans="2:5" ht="15.75">
      <c r="B727" s="102" t="s">
        <v>509</v>
      </c>
      <c r="C727" s="177" t="s">
        <v>101</v>
      </c>
      <c r="D727" s="178">
        <v>3.8</v>
      </c>
      <c r="E727" s="102"/>
    </row>
    <row r="728" spans="2:5" ht="15.75">
      <c r="B728" s="102" t="s">
        <v>510</v>
      </c>
      <c r="C728" s="177" t="s">
        <v>26</v>
      </c>
      <c r="D728" s="178">
        <v>5.252</v>
      </c>
      <c r="E728" s="102"/>
    </row>
    <row r="729" spans="2:5" ht="15.75">
      <c r="B729" s="102" t="s">
        <v>511</v>
      </c>
      <c r="C729" s="177" t="s">
        <v>101</v>
      </c>
      <c r="D729" s="178">
        <v>6</v>
      </c>
      <c r="E729" s="102"/>
    </row>
    <row r="730" spans="2:5" ht="15.75">
      <c r="B730" s="102" t="s">
        <v>512</v>
      </c>
      <c r="C730" s="177" t="s">
        <v>101</v>
      </c>
      <c r="D730" s="178">
        <v>26.5248</v>
      </c>
      <c r="E730" s="102"/>
    </row>
    <row r="731" spans="2:5" ht="15.75">
      <c r="B731" s="102" t="s">
        <v>513</v>
      </c>
      <c r="C731" s="177" t="s">
        <v>26</v>
      </c>
      <c r="D731" s="178">
        <f>8*2.572</f>
        <v>20.576</v>
      </c>
      <c r="E731" s="102"/>
    </row>
    <row r="732" spans="2:5" ht="15.75">
      <c r="B732" s="102" t="s">
        <v>514</v>
      </c>
      <c r="C732" s="177" t="s">
        <v>26</v>
      </c>
      <c r="D732" s="178">
        <v>4.374</v>
      </c>
      <c r="E732" s="102"/>
    </row>
    <row r="733" spans="2:5" ht="15.75">
      <c r="B733" s="102" t="s">
        <v>510</v>
      </c>
      <c r="C733" s="177" t="s">
        <v>26</v>
      </c>
      <c r="D733" s="178">
        <v>5.252</v>
      </c>
      <c r="E733" s="102"/>
    </row>
    <row r="734" spans="2:5" ht="15.75">
      <c r="B734" s="102" t="s">
        <v>515</v>
      </c>
      <c r="C734" s="177" t="s">
        <v>101</v>
      </c>
      <c r="D734" s="178">
        <v>31.52</v>
      </c>
      <c r="E734" s="102"/>
    </row>
    <row r="735" spans="2:5" ht="15.75">
      <c r="B735" s="102" t="s">
        <v>516</v>
      </c>
      <c r="C735" s="177" t="s">
        <v>517</v>
      </c>
      <c r="D735" s="178">
        <v>113.4</v>
      </c>
      <c r="E735" s="102"/>
    </row>
    <row r="736" spans="2:5" ht="15.75">
      <c r="B736" s="102" t="s">
        <v>518</v>
      </c>
      <c r="C736" s="177" t="s">
        <v>101</v>
      </c>
      <c r="D736" s="178">
        <v>3.14</v>
      </c>
      <c r="E736" s="102"/>
    </row>
    <row r="737" spans="2:5" ht="15.75">
      <c r="B737" s="102" t="s">
        <v>519</v>
      </c>
      <c r="C737" s="177" t="s">
        <v>101</v>
      </c>
      <c r="D737" s="178">
        <v>3.2</v>
      </c>
      <c r="E737" s="102"/>
    </row>
    <row r="738" spans="2:5" ht="15.75">
      <c r="B738" s="102" t="s">
        <v>520</v>
      </c>
      <c r="C738" s="177" t="s">
        <v>101</v>
      </c>
      <c r="D738" s="178">
        <v>3.1</v>
      </c>
      <c r="E738" s="102"/>
    </row>
    <row r="739" spans="2:5" ht="15.75">
      <c r="B739" s="102" t="s">
        <v>521</v>
      </c>
      <c r="C739" s="177" t="s">
        <v>778</v>
      </c>
      <c r="D739" s="178">
        <v>1.21</v>
      </c>
      <c r="E739" s="102"/>
    </row>
    <row r="740" spans="2:5" ht="15.75">
      <c r="B740" s="102" t="s">
        <v>522</v>
      </c>
      <c r="C740" s="177" t="s">
        <v>778</v>
      </c>
      <c r="D740" s="178">
        <v>1.354</v>
      </c>
      <c r="E740" s="102"/>
    </row>
    <row r="741" spans="2:5" ht="15.75">
      <c r="B741" s="102" t="s">
        <v>523</v>
      </c>
      <c r="C741" s="177" t="s">
        <v>778</v>
      </c>
      <c r="D741" s="178">
        <v>2.568</v>
      </c>
      <c r="E741" s="102"/>
    </row>
    <row r="742" spans="2:5" ht="15.75">
      <c r="B742" s="102" t="s">
        <v>524</v>
      </c>
      <c r="C742" s="177" t="s">
        <v>778</v>
      </c>
      <c r="D742" s="178">
        <v>0.283</v>
      </c>
      <c r="E742" s="102"/>
    </row>
    <row r="743" spans="2:5" ht="15.75">
      <c r="B743" s="102" t="s">
        <v>525</v>
      </c>
      <c r="C743" s="177" t="s">
        <v>778</v>
      </c>
      <c r="D743" s="178">
        <v>5.998</v>
      </c>
      <c r="E743" s="102"/>
    </row>
    <row r="744" spans="2:5" ht="15.75">
      <c r="B744" s="102" t="s">
        <v>526</v>
      </c>
      <c r="C744" s="177" t="s">
        <v>778</v>
      </c>
      <c r="D744" s="178">
        <v>3.988</v>
      </c>
      <c r="E744" s="102"/>
    </row>
    <row r="745" spans="2:5" ht="15.75">
      <c r="B745" s="102" t="s">
        <v>527</v>
      </c>
      <c r="C745" s="177" t="s">
        <v>528</v>
      </c>
      <c r="D745" s="178">
        <v>4.816</v>
      </c>
      <c r="E745" s="102"/>
    </row>
    <row r="746" spans="2:5" ht="15.75">
      <c r="B746" s="199" t="s">
        <v>1407</v>
      </c>
      <c r="C746" s="197"/>
      <c r="D746" s="215">
        <f>SUM(D723:D745)</f>
        <v>255.51079999999996</v>
      </c>
      <c r="E746" s="102"/>
    </row>
    <row r="747" spans="2:5" ht="15.75">
      <c r="B747" s="230" t="s">
        <v>47</v>
      </c>
      <c r="C747" s="230"/>
      <c r="D747" s="230"/>
      <c r="E747" s="230"/>
    </row>
    <row r="748" spans="2:5" ht="15.75">
      <c r="B748" s="102" t="s">
        <v>529</v>
      </c>
      <c r="C748" s="177" t="s">
        <v>101</v>
      </c>
      <c r="D748" s="178">
        <v>1.2</v>
      </c>
      <c r="E748" s="102"/>
    </row>
    <row r="749" spans="2:5" ht="15.75">
      <c r="B749" s="102" t="s">
        <v>530</v>
      </c>
      <c r="C749" s="177" t="s">
        <v>101</v>
      </c>
      <c r="D749" s="178">
        <v>3</v>
      </c>
      <c r="E749" s="102"/>
    </row>
    <row r="750" spans="2:5" ht="15.75">
      <c r="B750" s="102" t="s">
        <v>531</v>
      </c>
      <c r="C750" s="177" t="s">
        <v>116</v>
      </c>
      <c r="D750" s="178">
        <v>4.4</v>
      </c>
      <c r="E750" s="102"/>
    </row>
    <row r="751" spans="2:5" ht="15.75">
      <c r="B751" s="102" t="s">
        <v>532</v>
      </c>
      <c r="C751" s="177" t="s">
        <v>116</v>
      </c>
      <c r="D751" s="178">
        <v>1.2</v>
      </c>
      <c r="E751" s="102"/>
    </row>
    <row r="752" spans="2:5" ht="15.75">
      <c r="B752" s="102" t="s">
        <v>533</v>
      </c>
      <c r="C752" s="177" t="s">
        <v>534</v>
      </c>
      <c r="D752" s="178">
        <v>2</v>
      </c>
      <c r="E752" s="102"/>
    </row>
    <row r="753" spans="2:5" ht="15.75">
      <c r="B753" s="102" t="s">
        <v>535</v>
      </c>
      <c r="C753" s="177" t="s">
        <v>536</v>
      </c>
      <c r="D753" s="178">
        <v>0.625</v>
      </c>
      <c r="E753" s="102"/>
    </row>
    <row r="754" spans="2:5" ht="15.75">
      <c r="B754" s="102" t="s">
        <v>537</v>
      </c>
      <c r="C754" s="177" t="s">
        <v>536</v>
      </c>
      <c r="D754" s="178">
        <v>1.775</v>
      </c>
      <c r="E754" s="102"/>
    </row>
    <row r="755" spans="2:5" ht="15.75">
      <c r="B755" s="199" t="s">
        <v>1407</v>
      </c>
      <c r="C755" s="197"/>
      <c r="D755" s="215">
        <f>SUM(D748:D754)</f>
        <v>14.200000000000001</v>
      </c>
      <c r="E755" s="102"/>
    </row>
    <row r="756" spans="2:5" ht="15.75">
      <c r="B756" s="230" t="s">
        <v>538</v>
      </c>
      <c r="C756" s="230"/>
      <c r="D756" s="230"/>
      <c r="E756" s="230"/>
    </row>
    <row r="757" spans="2:5" ht="15.75">
      <c r="B757" s="102" t="s">
        <v>539</v>
      </c>
      <c r="C757" s="177" t="s">
        <v>101</v>
      </c>
      <c r="D757" s="178">
        <v>0.6</v>
      </c>
      <c r="E757" s="102"/>
    </row>
    <row r="758" spans="2:5" ht="15.75">
      <c r="B758" s="102" t="s">
        <v>540</v>
      </c>
      <c r="C758" s="177" t="s">
        <v>101</v>
      </c>
      <c r="D758" s="178">
        <v>0.6</v>
      </c>
      <c r="E758" s="102"/>
    </row>
    <row r="759" spans="2:5" ht="15.75">
      <c r="B759" s="102" t="s">
        <v>541</v>
      </c>
      <c r="C759" s="177" t="s">
        <v>101</v>
      </c>
      <c r="D759" s="178">
        <v>0.8</v>
      </c>
      <c r="E759" s="102"/>
    </row>
    <row r="760" spans="2:5" ht="15.75">
      <c r="B760" s="102" t="s">
        <v>542</v>
      </c>
      <c r="C760" s="177" t="s">
        <v>101</v>
      </c>
      <c r="D760" s="178">
        <v>0.8</v>
      </c>
      <c r="E760" s="102"/>
    </row>
    <row r="761" spans="2:5" ht="15.75">
      <c r="B761" s="102" t="s">
        <v>543</v>
      </c>
      <c r="C761" s="177" t="s">
        <v>101</v>
      </c>
      <c r="D761" s="178">
        <v>0.8</v>
      </c>
      <c r="E761" s="102"/>
    </row>
    <row r="762" spans="2:5" ht="15.75">
      <c r="B762" s="102" t="s">
        <v>544</v>
      </c>
      <c r="C762" s="177" t="s">
        <v>101</v>
      </c>
      <c r="D762" s="178">
        <v>2.8</v>
      </c>
      <c r="E762" s="102"/>
    </row>
    <row r="763" spans="2:5" ht="15.75">
      <c r="B763" s="102" t="s">
        <v>545</v>
      </c>
      <c r="C763" s="177" t="s">
        <v>778</v>
      </c>
      <c r="D763" s="178">
        <v>1.721</v>
      </c>
      <c r="E763" s="102"/>
    </row>
    <row r="764" spans="2:5" ht="15.75">
      <c r="B764" s="102" t="s">
        <v>546</v>
      </c>
      <c r="C764" s="177" t="s">
        <v>778</v>
      </c>
      <c r="D764" s="178">
        <v>4.279</v>
      </c>
      <c r="E764" s="102"/>
    </row>
    <row r="765" spans="2:5" ht="15.75">
      <c r="B765" s="102" t="s">
        <v>547</v>
      </c>
      <c r="C765" s="177" t="s">
        <v>101</v>
      </c>
      <c r="D765" s="178">
        <v>1.65</v>
      </c>
      <c r="E765" s="102"/>
    </row>
    <row r="766" spans="2:5" ht="15.75">
      <c r="B766" s="102" t="s">
        <v>548</v>
      </c>
      <c r="C766" s="177" t="s">
        <v>101</v>
      </c>
      <c r="D766" s="178">
        <f>0.95*5</f>
        <v>4.75</v>
      </c>
      <c r="E766" s="102"/>
    </row>
    <row r="767" spans="2:5" ht="15.75">
      <c r="B767" s="199" t="s">
        <v>1407</v>
      </c>
      <c r="C767" s="197"/>
      <c r="D767" s="215">
        <f>SUM(D757:D766)</f>
        <v>18.799999999999997</v>
      </c>
      <c r="E767" s="102"/>
    </row>
    <row r="768" spans="2:5" ht="15.75">
      <c r="B768" s="230" t="s">
        <v>197</v>
      </c>
      <c r="C768" s="230"/>
      <c r="D768" s="230"/>
      <c r="E768" s="230"/>
    </row>
    <row r="769" spans="2:5" ht="15.75">
      <c r="B769" s="103" t="s">
        <v>549</v>
      </c>
      <c r="C769" s="177" t="s">
        <v>550</v>
      </c>
      <c r="D769" s="178">
        <v>2</v>
      </c>
      <c r="E769" s="102"/>
    </row>
    <row r="770" spans="2:5" ht="15.75">
      <c r="B770" s="103" t="s">
        <v>551</v>
      </c>
      <c r="C770" s="102" t="s">
        <v>552</v>
      </c>
      <c r="D770" s="178">
        <v>2.5395</v>
      </c>
      <c r="E770" s="102"/>
    </row>
    <row r="771" spans="2:5" ht="31.5">
      <c r="B771" s="103" t="s">
        <v>553</v>
      </c>
      <c r="C771" s="293" t="s">
        <v>554</v>
      </c>
      <c r="D771" s="178">
        <v>17.03592</v>
      </c>
      <c r="E771" s="102"/>
    </row>
    <row r="772" spans="2:5" ht="31.5">
      <c r="B772" s="103" t="s">
        <v>555</v>
      </c>
      <c r="C772" s="294"/>
      <c r="D772" s="178">
        <v>3.26784</v>
      </c>
      <c r="E772" s="102"/>
    </row>
    <row r="773" spans="2:5" ht="31.5">
      <c r="B773" s="103" t="s">
        <v>556</v>
      </c>
      <c r="C773" s="294"/>
      <c r="D773" s="178">
        <v>3.2676</v>
      </c>
      <c r="E773" s="102"/>
    </row>
    <row r="774" spans="2:5" ht="31.5">
      <c r="B774" s="103" t="s">
        <v>557</v>
      </c>
      <c r="C774" s="294"/>
      <c r="D774" s="178">
        <v>3.26784</v>
      </c>
      <c r="E774" s="102"/>
    </row>
    <row r="775" spans="2:5" ht="31.5">
      <c r="B775" s="103" t="s">
        <v>558</v>
      </c>
      <c r="C775" s="294"/>
      <c r="D775" s="178">
        <v>3.78384</v>
      </c>
      <c r="E775" s="102"/>
    </row>
    <row r="776" spans="2:5" ht="31.5">
      <c r="B776" s="103" t="s">
        <v>559</v>
      </c>
      <c r="C776" s="294"/>
      <c r="D776" s="178">
        <v>3.26784</v>
      </c>
      <c r="E776" s="102"/>
    </row>
    <row r="777" spans="2:5" ht="31.5">
      <c r="B777" s="103" t="s">
        <v>560</v>
      </c>
      <c r="C777" s="294"/>
      <c r="D777" s="178">
        <v>3.5544</v>
      </c>
      <c r="E777" s="102"/>
    </row>
    <row r="778" spans="2:5" ht="47.25">
      <c r="B778" s="103" t="s">
        <v>561</v>
      </c>
      <c r="C778" s="294"/>
      <c r="D778" s="178">
        <v>3.9558</v>
      </c>
      <c r="E778" s="102"/>
    </row>
    <row r="779" spans="2:5" ht="15.75">
      <c r="B779" s="103" t="s">
        <v>562</v>
      </c>
      <c r="C779" s="294"/>
      <c r="D779" s="178">
        <v>2.2176</v>
      </c>
      <c r="E779" s="102"/>
    </row>
    <row r="780" spans="2:5" ht="31.5">
      <c r="B780" s="103" t="s">
        <v>563</v>
      </c>
      <c r="C780" s="294"/>
      <c r="D780" s="178">
        <v>0.45366</v>
      </c>
      <c r="E780" s="102"/>
    </row>
    <row r="781" spans="2:5" ht="15.75">
      <c r="B781" s="103" t="s">
        <v>564</v>
      </c>
      <c r="C781" s="294"/>
      <c r="D781" s="178">
        <v>2.646</v>
      </c>
      <c r="E781" s="102"/>
    </row>
    <row r="782" spans="2:5" ht="15.75">
      <c r="B782" s="103" t="s">
        <v>565</v>
      </c>
      <c r="C782" s="295"/>
      <c r="D782" s="178">
        <v>1.1718</v>
      </c>
      <c r="E782" s="102"/>
    </row>
    <row r="783" spans="2:5" ht="15.75">
      <c r="B783" s="199" t="s">
        <v>1407</v>
      </c>
      <c r="C783" s="197"/>
      <c r="D783" s="214">
        <f>SUM(D769:D782)</f>
        <v>52.42963999999999</v>
      </c>
      <c r="E783" s="102"/>
    </row>
    <row r="784" spans="2:5" ht="15.75">
      <c r="B784" s="230" t="s">
        <v>566</v>
      </c>
      <c r="C784" s="230"/>
      <c r="D784" s="230"/>
      <c r="E784" s="230"/>
    </row>
    <row r="785" spans="2:5" ht="15.75">
      <c r="B785" s="102" t="s">
        <v>567</v>
      </c>
      <c r="C785" s="177" t="s">
        <v>568</v>
      </c>
      <c r="D785" s="178">
        <v>0.43962</v>
      </c>
      <c r="E785" s="102"/>
    </row>
    <row r="786" spans="2:5" ht="15.75">
      <c r="B786" s="102" t="s">
        <v>569</v>
      </c>
      <c r="C786" s="177" t="s">
        <v>570</v>
      </c>
      <c r="D786" s="178">
        <v>2.455</v>
      </c>
      <c r="E786" s="102"/>
    </row>
    <row r="787" spans="2:5" ht="15.75">
      <c r="B787" s="102" t="s">
        <v>571</v>
      </c>
      <c r="C787" s="177" t="s">
        <v>503</v>
      </c>
      <c r="D787" s="178">
        <v>1.09</v>
      </c>
      <c r="E787" s="102"/>
    </row>
    <row r="788" spans="2:5" ht="15.75">
      <c r="B788" s="102" t="s">
        <v>572</v>
      </c>
      <c r="C788" s="177" t="s">
        <v>503</v>
      </c>
      <c r="D788" s="178">
        <v>1.899</v>
      </c>
      <c r="E788" s="102"/>
    </row>
    <row r="789" spans="2:5" ht="15.75">
      <c r="B789" s="102" t="s">
        <v>573</v>
      </c>
      <c r="C789" s="177" t="s">
        <v>503</v>
      </c>
      <c r="D789" s="178">
        <v>0.65</v>
      </c>
      <c r="E789" s="102"/>
    </row>
    <row r="790" spans="2:5" ht="15.75">
      <c r="B790" s="102" t="s">
        <v>574</v>
      </c>
      <c r="C790" s="177" t="s">
        <v>503</v>
      </c>
      <c r="D790" s="178">
        <v>0.935</v>
      </c>
      <c r="E790" s="102"/>
    </row>
    <row r="791" spans="2:5" ht="15.75">
      <c r="B791" s="102" t="s">
        <v>575</v>
      </c>
      <c r="C791" s="177" t="s">
        <v>503</v>
      </c>
      <c r="D791" s="178">
        <v>1.75</v>
      </c>
      <c r="E791" s="102"/>
    </row>
    <row r="792" spans="2:5" ht="15.75">
      <c r="B792" s="102" t="s">
        <v>576</v>
      </c>
      <c r="C792" s="177" t="s">
        <v>143</v>
      </c>
      <c r="D792" s="178">
        <v>1.499</v>
      </c>
      <c r="E792" s="102"/>
    </row>
    <row r="793" spans="2:5" ht="15.75">
      <c r="B793" s="102" t="s">
        <v>577</v>
      </c>
      <c r="C793" s="177" t="s">
        <v>578</v>
      </c>
      <c r="D793" s="178">
        <v>0.687</v>
      </c>
      <c r="E793" s="102"/>
    </row>
    <row r="794" spans="2:5" ht="15.75">
      <c r="B794" s="102" t="s">
        <v>579</v>
      </c>
      <c r="C794" s="177" t="s">
        <v>578</v>
      </c>
      <c r="D794" s="178">
        <v>2.517</v>
      </c>
      <c r="E794" s="102"/>
    </row>
    <row r="795" spans="2:5" ht="15.75">
      <c r="B795" s="199" t="s">
        <v>1407</v>
      </c>
      <c r="C795" s="197"/>
      <c r="D795" s="214">
        <f>SUM(D785:D794)</f>
        <v>13.92162</v>
      </c>
      <c r="E795" s="102"/>
    </row>
    <row r="796" spans="2:5" ht="15.75">
      <c r="B796" s="230" t="s">
        <v>580</v>
      </c>
      <c r="C796" s="230"/>
      <c r="D796" s="230"/>
      <c r="E796" s="230"/>
    </row>
    <row r="797" spans="2:5" ht="15.75">
      <c r="B797" s="102" t="s">
        <v>581</v>
      </c>
      <c r="C797" s="177" t="s">
        <v>143</v>
      </c>
      <c r="D797" s="178">
        <v>5.899</v>
      </c>
      <c r="E797" s="102"/>
    </row>
    <row r="798" spans="2:5" ht="15.75">
      <c r="B798" s="102" t="s">
        <v>582</v>
      </c>
      <c r="C798" s="177" t="s">
        <v>143</v>
      </c>
      <c r="D798" s="178">
        <v>5.879</v>
      </c>
      <c r="E798" s="102"/>
    </row>
    <row r="799" spans="2:5" ht="15.75">
      <c r="B799" s="102" t="s">
        <v>583</v>
      </c>
      <c r="C799" s="177" t="s">
        <v>143</v>
      </c>
      <c r="D799" s="178">
        <v>5.799</v>
      </c>
      <c r="E799" s="102"/>
    </row>
    <row r="800" spans="2:5" ht="15.75">
      <c r="B800" s="102" t="s">
        <v>584</v>
      </c>
      <c r="C800" s="177" t="s">
        <v>143</v>
      </c>
      <c r="D800" s="178">
        <v>5.85</v>
      </c>
      <c r="E800" s="102"/>
    </row>
    <row r="801" spans="2:5" ht="15.75">
      <c r="B801" s="102" t="s">
        <v>585</v>
      </c>
      <c r="C801" s="177" t="s">
        <v>143</v>
      </c>
      <c r="D801" s="178">
        <v>5.149</v>
      </c>
      <c r="E801" s="102"/>
    </row>
    <row r="802" spans="2:5" ht="15.75">
      <c r="B802" s="199" t="s">
        <v>1407</v>
      </c>
      <c r="C802" s="197"/>
      <c r="D802" s="214">
        <f>SUM(D797:D801)</f>
        <v>28.576</v>
      </c>
      <c r="E802" s="102"/>
    </row>
    <row r="803" spans="2:5" ht="15.75">
      <c r="B803" s="230" t="s">
        <v>586</v>
      </c>
      <c r="C803" s="230"/>
      <c r="D803" s="230"/>
      <c r="E803" s="230"/>
    </row>
    <row r="804" spans="2:5" ht="15.75">
      <c r="B804" s="102" t="s">
        <v>587</v>
      </c>
      <c r="C804" s="290" t="s">
        <v>54</v>
      </c>
      <c r="D804" s="178">
        <v>5.997</v>
      </c>
      <c r="E804" s="102"/>
    </row>
    <row r="805" spans="2:5" ht="15.75">
      <c r="B805" s="102" t="s">
        <v>588</v>
      </c>
      <c r="C805" s="291"/>
      <c r="D805" s="178">
        <v>3.798</v>
      </c>
      <c r="E805" s="102"/>
    </row>
    <row r="806" spans="2:5" ht="15.75">
      <c r="B806" s="102" t="s">
        <v>589</v>
      </c>
      <c r="C806" s="292"/>
      <c r="D806" s="178">
        <v>10.205</v>
      </c>
      <c r="E806" s="102"/>
    </row>
    <row r="807" spans="2:5" ht="15.75">
      <c r="B807" s="199" t="s">
        <v>1407</v>
      </c>
      <c r="C807" s="197"/>
      <c r="D807" s="214">
        <f>SUM(D804:D806)</f>
        <v>20</v>
      </c>
      <c r="E807" s="102"/>
    </row>
  </sheetData>
  <mergeCells count="69">
    <mergeCell ref="C804:C806"/>
    <mergeCell ref="C574:C577"/>
    <mergeCell ref="B42:E42"/>
    <mergeCell ref="B768:E768"/>
    <mergeCell ref="B784:E784"/>
    <mergeCell ref="B796:E796"/>
    <mergeCell ref="B803:E803"/>
    <mergeCell ref="C771:C782"/>
    <mergeCell ref="B715:E715"/>
    <mergeCell ref="B722:E722"/>
    <mergeCell ref="B756:E756"/>
    <mergeCell ref="B511:E511"/>
    <mergeCell ref="B689:E689"/>
    <mergeCell ref="B698:E698"/>
    <mergeCell ref="B706:E706"/>
    <mergeCell ref="B518:F518"/>
    <mergeCell ref="B573:D573"/>
    <mergeCell ref="B579:E579"/>
    <mergeCell ref="B603:D603"/>
    <mergeCell ref="B455:E455"/>
    <mergeCell ref="B489:E489"/>
    <mergeCell ref="B504:E504"/>
    <mergeCell ref="B747:E747"/>
    <mergeCell ref="B380:E380"/>
    <mergeCell ref="B401:E401"/>
    <mergeCell ref="B428:E428"/>
    <mergeCell ref="B434:E434"/>
    <mergeCell ref="B102:E102"/>
    <mergeCell ref="B105:E105"/>
    <mergeCell ref="B109:E109"/>
    <mergeCell ref="B367:E367"/>
    <mergeCell ref="B363:E363"/>
    <mergeCell ref="B72:E72"/>
    <mergeCell ref="B77:E77"/>
    <mergeCell ref="B80:E80"/>
    <mergeCell ref="B83:E83"/>
    <mergeCell ref="B87:E87"/>
    <mergeCell ref="B90:E90"/>
    <mergeCell ref="B93:E93"/>
    <mergeCell ref="B96:E96"/>
    <mergeCell ref="B99:E99"/>
    <mergeCell ref="B312:E312"/>
    <mergeCell ref="B325:E325"/>
    <mergeCell ref="B337:E337"/>
    <mergeCell ref="B350:E350"/>
    <mergeCell ref="B523:F523"/>
    <mergeCell ref="B618:B619"/>
    <mergeCell ref="C618:C619"/>
    <mergeCell ref="D618:D619"/>
    <mergeCell ref="G1:K1"/>
    <mergeCell ref="A515:E515"/>
    <mergeCell ref="B12:F12"/>
    <mergeCell ref="B5:F5"/>
    <mergeCell ref="B119:F119"/>
    <mergeCell ref="C43:C47"/>
    <mergeCell ref="B49:F49"/>
    <mergeCell ref="B239:F239"/>
    <mergeCell ref="A1:E1"/>
    <mergeCell ref="B61:F61"/>
    <mergeCell ref="B597:E597"/>
    <mergeCell ref="C6:C11"/>
    <mergeCell ref="B63:E63"/>
    <mergeCell ref="B282:F282"/>
    <mergeCell ref="B52:F52"/>
    <mergeCell ref="B257:F257"/>
    <mergeCell ref="B57:F57"/>
    <mergeCell ref="B260:F260"/>
    <mergeCell ref="A116:E116"/>
    <mergeCell ref="B131:F131"/>
  </mergeCells>
  <hyperlinks>
    <hyperlink ref="C50" r:id="rId1" display="https://www.dzo.com.ua/tenders/429036/bid/cfcd208495d565ef66e7dff9f98764da/info"/>
  </hyperlink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scale="90" r:id="rId2"/>
  <rowBreaks count="5" manualBreakCount="5">
    <brk id="62" max="4" man="1"/>
    <brk id="76" max="4" man="1"/>
    <brk id="114" max="4" man="1"/>
    <brk id="284" max="4" man="1"/>
    <brk id="6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cp:lastPrinted>2017-03-03T14:03:40Z</cp:lastPrinted>
  <dcterms:created xsi:type="dcterms:W3CDTF">2017-02-27T08:59:24Z</dcterms:created>
  <dcterms:modified xsi:type="dcterms:W3CDTF">2017-03-06T07:20:03Z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