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9690" windowHeight="6480" activeTab="0"/>
  </bookViews>
  <sheets>
    <sheet name="КАПІТАЛЬНІ ВКЛАДЕННЯ" sheetId="1" r:id="rId1"/>
  </sheets>
  <definedNames>
    <definedName name="_xlnm.Print_Titles" localSheetId="0">'КАПІТАЛЬНІ ВКЛАДЕННЯ'!$6:$7</definedName>
    <definedName name="_xlnm.Print_Area" localSheetId="0">'КАПІТАЛЬНІ ВКЛАДЕННЯ'!$A$1:$G$157</definedName>
  </definedNames>
  <calcPr fullCalcOnLoad="1"/>
</workbook>
</file>

<file path=xl/sharedStrings.xml><?xml version="1.0" encoding="utf-8"?>
<sst xmlns="http://schemas.openxmlformats.org/spreadsheetml/2006/main" count="154" uniqueCount="152">
  <si>
    <t>КЕКВК*</t>
  </si>
  <si>
    <t>Видатки:</t>
  </si>
  <si>
    <t>Код району, міста (обласного значенння)</t>
  </si>
  <si>
    <t>Касові видатки  (за звітом ДКУ)</t>
  </si>
  <si>
    <t>Дані</t>
  </si>
  <si>
    <t>Будівництво</t>
  </si>
  <si>
    <t>Придбання житла воїнам-інтернаціоналістам, а в разі їх смерті – членам сімей, за якими згідно із законодавством зберігається право подальшого перебування на квартирному обліку</t>
  </si>
  <si>
    <t>Внески органів місцевого самоврядування у статутні капітали  КП ММР ПДЗОВ  "Дельфін"</t>
  </si>
  <si>
    <t xml:space="preserve"> по місту Миколаєву</t>
  </si>
  <si>
    <t>По ЗАХОДАХ, ОБ'ЄКТАХ</t>
  </si>
  <si>
    <t>(тис. грн.)</t>
  </si>
  <si>
    <t>Будівництво навчальних приміщень для розвитку творчого потенціалу учнів з інклюзивною формою навчання МСШ "Академія дитячої творчості" за адресою: 54034, м. Миколаїв, вул. Олійника, 36, в т.ч. проектно-вишукувальні роботи та експертиза</t>
  </si>
  <si>
    <t>Нове будівництво котельні  ЗОШ № 45 по вул.4-ій Поздовжній, 58, у м.Миколаєві, в т.ч. проектно-вишукувальні роботи  та експертиза</t>
  </si>
  <si>
    <t>Реконструкція покрівлі ЗОШ №40 по вул.Металургів, 97/1  у м.Миколаєві, у  т.ч.проектно-вишукувальні роботи та експертиза</t>
  </si>
  <si>
    <t>Реконструкція будівлі ( для забезпечення інклюзивної форми навчання) МСШ МіПР «Академія дитячої творчості» по вул.Олійника,36 у м.Миколаєві, в т.ч. проектно-вишукувальні роботи та експертиза</t>
  </si>
  <si>
    <t>Реконструкція спортивного майданчику ЗОШ №44 по вул. Знаменській,2/6 у м.Миколаєві, в т.ч. проектно-вишукувальні роботи та експертиза</t>
  </si>
  <si>
    <t>Реконструкція спортивного майданчика Центрального міського стадіону по вул.Спортивній,1/1 в м.Миколаєві, в т.ч. проектні роботи та експертиза</t>
  </si>
  <si>
    <t>Реконструкція сімейної амбулаторії  №4 по вул.Чкалова,93 центра первинної медико-санітарної допомоги №3 в м.Миколаєві,  у т.ч.  проектні роботи та експертиза</t>
  </si>
  <si>
    <t>Реконструкція системи опалення з встановленням електричних котлів потужністю 360 кВт в Міському пологовому будинку №2 по вул. Будівельників,8 у м.Миколаєві, у тому числі проектно-кошторисна документація та експертиза</t>
  </si>
  <si>
    <t>Нове будівництво тролейбусної лінії по вул.Лазурній та вул.Озерній у м.Миколаєві, у т.ч. проектні роботи та експертиза</t>
  </si>
  <si>
    <t>Будівництво світлофорного об'єкту в м.Миколаєві по вул.Космонавтів ріг вул.Турбінної , у т.ч. проектні роботи та експертиза</t>
  </si>
  <si>
    <t>Детальний план території багатоповерхової житлової забудови 8-го мікрорайону у Корабельному районі м.Миколаєва</t>
  </si>
  <si>
    <t xml:space="preserve"> Капітальне будівництво (придбання) інших об'єктів</t>
  </si>
  <si>
    <t>Реконструкція житлового фонду (приміщень)</t>
  </si>
  <si>
    <t>Реконструкція та реставрація інших об'єктів</t>
  </si>
  <si>
    <t xml:space="preserve"> Реставрація пам'яток культури, історії та архітектури </t>
  </si>
  <si>
    <t>Капітальне будівництво (придбання) інших об'єктів</t>
  </si>
  <si>
    <t>Реставрація пам'яток культури, історії та архітектури</t>
  </si>
  <si>
    <t>Затверджено на 2017 рік з урахуванням внесених змін</t>
  </si>
  <si>
    <t xml:space="preserve">        КТПКВК      </t>
  </si>
  <si>
    <t>про використання коштів, спрямованих на фінансування капітальних вкладень (КТПКВК  6300) та внесків органів влади та органів місцевого самоврядування у статутні капітали суб'єктів підприємницької діяльності ( КТПКВК  7470)</t>
  </si>
  <si>
    <t>Внески органів місцевого самоврядування у статутні капітали  КП ММР "Миколаївелектротранс""</t>
  </si>
  <si>
    <t>Внески органів місцевого самоврядування у статутні капітали  КП "Миколаївське міжміське бюро технічної інвентаризації"</t>
  </si>
  <si>
    <t>Внески органів місцевого самоврядування у статутні капітали  КП "Міський інформаційно-обчислювальний центр"</t>
  </si>
  <si>
    <t>Внески органів місцевого самоврядування у статутні капітали КП "СКП "Гуртожиток""</t>
  </si>
  <si>
    <t>Внески органів місцевого самоврядування у статутні капітали  КП "Дорога"</t>
  </si>
  <si>
    <t>Внески органів місцевого самоврядування у статутні капітали  ЖКП "Південь"</t>
  </si>
  <si>
    <t>Внески органів місцевого самоврядування у статутні капітали  КП ММР"Інститут соціально-економічного розвитку міста"</t>
  </si>
  <si>
    <t>Внески до статутного капіталу суб’єктів господарювання</t>
  </si>
  <si>
    <t>Реалізація заходів щодо інвестиційного розвитку території</t>
  </si>
  <si>
    <t>Будівництво та придбання житла для окремих категорій населення</t>
  </si>
  <si>
    <t>Проведення невідкладних відновлювальних робіт, будівництво та реконструкція загальноосвітніх навчальних закладів</t>
  </si>
  <si>
    <t>Збереження, розвиток, реконструкція та реставрація  пам’яток історії та культури</t>
  </si>
  <si>
    <t>Розробка схем та проектних рішень масового застосування</t>
  </si>
  <si>
    <t>Нове будівництво дошкільного навчального закладу по вул.Променева у мікрорайоні "Північний" м.Миколаєва, в т.ч. проектно-вишукувальні  роботи та експертиза</t>
  </si>
  <si>
    <t>Нове будівництво дошкільного навчального закладу по вул. Променева у мікрорайоні «Північний» м. Миколаєва (підготовчі роботи), в т.ч. проектно-вишукувальні роботи та експертна оцінка</t>
  </si>
  <si>
    <t>Нове будівництво котельні ЗОШ №4 по вул. М.Морська,78 у м. Миколаєві, в т.ч. проектно-вишукувальні роботи та експертиза</t>
  </si>
  <si>
    <t xml:space="preserve">Нове будівництво котельні ЗОШ№ 29 по вул.Ватутіна,124 у м.Миколаєві, в т.ч. проектно- вишукувальні роботи та експертиза </t>
  </si>
  <si>
    <t>Реконструкція покрівлі ЗОШ №64, вул.Архітектора Старова, 6-Г у м.Миколаєві, у т.ч. проектно-вишукувальні роботи та експертиза</t>
  </si>
  <si>
    <t>Реконструкція з прибудовою ЗОШ № 36 по вул.Чигрина, 143 у м.Миколаєві, в т.ч. проектно-вишукувальні роботи та експертиза</t>
  </si>
  <si>
    <t>Реставрація  Першої Української гімназії ім. М. Аркаса по вул. Нікольській, 34 в м. Миколаєві, в т.ч. проектні роботи та експертиза</t>
  </si>
  <si>
    <t>Реставрація Миколаївської гімназії №2 (пам’ятки архітектури місцевого значення "Міське дівоче училище" (друга жіноча гімназія), ІІ половина ХІХ ст.) по вул. Адміральській,24 у м.Миколаєві, в т.ч. проектно-вишукувальні роботи та експертиза</t>
  </si>
  <si>
    <t>Нове будівництво спортивного майданчика  КДЮСШ "Комунарівець"  за адресою: пр.Героїв України, 2/4  в м.Миколаєві,  в т.ч. проектні роботи та експертиза</t>
  </si>
  <si>
    <t>Нове будівництво спортивного майданчика ДЮСШ  №5 за адресою: пр.Богоявленський, 253а  в м. Миколаєві, в т.ч. проектні роботи та експертиза</t>
  </si>
  <si>
    <t>Нове будівництво футбольного поля №1 (тренувального) Центрального міського стадіону  по вул. Спортивний, 1/1 в  м.Миколаєві, у т.ч. проектні роботи та експертиза</t>
  </si>
  <si>
    <t>Реконструкція периметрального огородження  Центрального міського стадіону  по вул. Спортивній, 1/1 в м.Миколаєві,  у т.ч. проектні роботи та експертиза</t>
  </si>
  <si>
    <t>Реконструкція існуючого футбольного поля  Центрального міського стадіону  по вул. Спортивній, 1/1 в м. Миколаєві,  у т.ч. проектні роботи та експертиза</t>
  </si>
  <si>
    <t xml:space="preserve">Реконструкція елінгу №1 ДЮСШ №2  з надбудовою  спортивного залу  за адресою: вул. Спортивна, 11 у м. Миколаєві,  у т.ч. проектні роботи та експертиза </t>
  </si>
  <si>
    <t>Реставрація фасадів та даху будівлі Миколаївської спеціалізованої дитячо-юнацької спортивної школи олімпійського резерву з фехтування по вул. Пушкінській, 11 в м. Миколаєві, у т.ч. проектні роботи та експертиза</t>
  </si>
  <si>
    <t>Реконструкція існуючого  будинку (літ. Н-1 автоклавна-кафе) під розміщення травматологічного пункту МЛШМД за адресою: вул. Корабелів, 14-в, м. Миколаїв, т.ч. проектні роботи та експертиза</t>
  </si>
  <si>
    <t xml:space="preserve">Реконструкція сімейної амбулаторії КЗ ММР «ЦПМСД №1» за адресою: м. Миколаїв, провулок 1 Шосейний,1, в тому числі проектно-кошторисна документація та експертиза </t>
  </si>
  <si>
    <t xml:space="preserve">Реконструкція приміщення під розміщення сімейної амбулаторії №1 КЗ ММР «ЦПМСД №5» за адресами: вул. Привільна, 41/1 та вул. Привільна, 41/3 в м. Миколаєві, в тому числі проектно-кошторисна документація та експертиза  </t>
  </si>
  <si>
    <t>Реконструкція приміщення під розміщення центру соціально-психологічної реабілітації дітей та молоді з функціональними обмеженнями за адресою: вул. Спаська, 80, в тому числі проектні роботи та експертиза</t>
  </si>
  <si>
    <t>Реконструкція навісу у відділеннях Ленінського району міського територіального центру за адресою:вул.12 Поздовжня,50-А, в т.ч. проектні роботи та експертиза</t>
  </si>
  <si>
    <t>Придбання об’єкта незавершеного будівництва за адресою: м.Миколаїв,вул.Озерна,43 для розміщення Палацу культури</t>
  </si>
  <si>
    <t>КУ Миколаївський зоопарк. Нове будівництво пандусів в існуючих будівлях за адресою пл. М. Леонтовича, 1, у м. Миколаєві(за рахунок субвенції з державного бюджету місцевим бюджетам на здійснення заходів щодо соціально- економічного розвитку окремих територій)</t>
  </si>
  <si>
    <t>КУ Миколаївський зоопарк. Нове будівництво пандусів в існуючих будівлях за адресою: пл. М. Леонтовича,1 у м. Миколаєві, у т.ч.проектно-вишукувальні роботи та експертиза</t>
  </si>
  <si>
    <t xml:space="preserve">КУ Миколаївський зоопарк. Будівництво оглядового пішохідного містка між вольєрами слоновника та жирафника за адресою: пл.М.Леонтовича,1 у м.Миколаєві,у т.ч. проектно-вишукувальні роботи та експертиза </t>
  </si>
  <si>
    <t xml:space="preserve">КУ Миколаївський зоопарк. Нове будівництво морозильної камери для гілкового корму за адресою: пл.М.Леонтовича,1 у м. Миколаєві, у т.ч. проектно-вишукувальні роботи та експертиза </t>
  </si>
  <si>
    <t>КУ Миколаївський зоопарк. Нове будівництво літніх вольєрів "Острів звірів"  за адресою: пл. М.Леонтовича, 1 у м. Миколаєві, в т.ч. проектно-вишукувальні роботи та експертиза</t>
  </si>
  <si>
    <t>Нове будівництво культурного центру за адресою: м.Миколаїв, вул. Озерна,43, у т.ч. проектно- вишукувальні роботи та експертиза</t>
  </si>
  <si>
    <t>Реконструкція павільйону-кафе з підвалом під культурно-ігровий павільйон в БУ ММР КІК "ДМ"Казка" по вул.Декабристів,38-а в м.Миколаєві, в т.ч. проектно-вишукувальні роботи та експертиза</t>
  </si>
  <si>
    <t xml:space="preserve">Реконструкція нежитлових приміщень по вул.Спаській, 23/1 в м.Миколаєві під дитячу художню школу, в т.ч. проектно-вишукувальні роботи та експертиза </t>
  </si>
  <si>
    <t>Реконструкція електрокабельної мережі на території БУ ММР КІК «ДМ Казка» по вул.Декабристів,38-а в м.Миколаєві, в т.ч. проектно-вишукувальні роботи та експертиза</t>
  </si>
  <si>
    <t>Реконструкція концертної зали ММПК "Молодіжний" по пр.Богоявленському, 39-а в м.Миколаєві з облаштуванням допоміжних приміщень та котельні, в т.ч. проектно-вишукувальні роботи та експертиза</t>
  </si>
  <si>
    <t>Реконструкція Великокорениського будинку культури за адресою: вул. Миколаївських десантників, 4 (Братів Неживих) (Велика Корениха), м.Миколаїв, у т.ч. проектно-вишукувальні роботи та експертиза</t>
  </si>
  <si>
    <t>Реконструкція Миколаївського міського палацу культури "Молодіжний" по вулиці Театральній,1 у м.Миколаїв, в т.ч. проектно-вишукувальні роботи та експертиза</t>
  </si>
  <si>
    <t>Реставрація пам’ятки історії  місцевого значення, в якій навчався Ш. Кобер -дитяча музична школа №8 по вул. 1 Госпітальна,1 в м.Миколаєві (першочергові протиаварійні роботи), в т.ч. проектно-вишукувальні роботи та експертиза</t>
  </si>
  <si>
    <t>Миколаївський міський палац культури та урочистих подій. Реставрація будівлі-пам'ятки архітектури місцевого значення  по вул. Спаській, 44 в м. Миколаєві з створенням безперешкодного доступу для маломобільних верств населення, в т.ч. проектно-вишукувальні роботи та експертиза</t>
  </si>
  <si>
    <t>Миколаївський міський палац культури та урочистих подій. Реставрація будівлі-пам'ятки архітектури місцевого значення по вул. Шевченка, 58 в м. Миколаєві,  в т.ч. проектно-вишукувальні роботи та експертиза</t>
  </si>
  <si>
    <t>Реставрація будівлі – пам’ятки історії місцевого значення ДМШ №1 по вул. Адміральській, 9-11 (літери Е-1, ЕI -1, ЕII-2, Ж-2) в м.Миколаєві, в т.ч. проектно-вишукувальні роботи та експертиза</t>
  </si>
  <si>
    <t>Реставрація пам’ятки архітектури місцевого значення «Водонапірна башта» по вул. Рюміна, 9 в м. Миколаєві, в т.ч. проектно-вишукувальні  роботи та експертиза</t>
  </si>
  <si>
    <t>Ліквідація наслідків підтоплення мкр. Жовтневий, парку "Богоявленський" - будівництво дренажного колектору для захисту від підтоплення мікрорайону Жовтневий в м. Миколаєві, у тому числі коригування проекту та експертиза(за рахунок субвенції з державного бюджету місцевим бюджетам на здійснення заходів щодо соціально- економічного розвитку окремих територій)</t>
  </si>
  <si>
    <t>Нове будівництво свердловини для водопостачання населення Великої Коренихи по вул. Очаківській в Заводському районі м.Миколаєва, у т. ч. виготовлення проектно-кошторисної документації та проведення її експертизи</t>
  </si>
  <si>
    <t>Нове будівництво свердловини для водопостачання населення Великої Коренихи по вул. Володимирівська в Заводському районі м.Миколаєва, у т. ч. виготовлення проектно-кошторисної документації та проведення її експертизи</t>
  </si>
  <si>
    <t>Нове будівництво свердловини для водопостачання населення Великої Коренихи по вул. Святославівська в Заводському районі м.Миколаєва, у т. ч. виготовлення проектно-кошторисної документації та проведення її експертизи</t>
  </si>
  <si>
    <t>Нове будівництво вулично-дорожньої мережі  по вул. А.Шептицького, від проспекту Героїв України до вул. Архітектора Старова в м. Миколаєві,у т.ч. проектні роботи та експертиза</t>
  </si>
  <si>
    <t xml:space="preserve">Нове будівництво дюкеру через річку Південний Буг та магістральних мереж водопостачання мікрорайону Варварівка у м.Миколаєві, у т.ч. проектні роботи та експертиза </t>
  </si>
  <si>
    <t>Ліквідація наслідків підтоплення селища Горького - будівництво дренажного колектору для захисту від підтоплення селища Горького у м. Миколаєві, у тому числі коригування проекту та експертиза</t>
  </si>
  <si>
    <t>Будівництво протипожежних водойм на території полігона ТПВ по вул. Новій,16  в с. Весняне Миколаївського району, в тому числі проектні роботи та експертиза</t>
  </si>
  <si>
    <t>Будівництво огорожі міського полігону твердих побутових відходів в селищі В.Корениха, у тому числі коригування проектно-кошторисної документації та екпертиза</t>
  </si>
  <si>
    <t xml:space="preserve">Будівництво водопроводу у мкр. Тернівка м.Миколаєва, у тому числі коригування проектно-кошторисної документації та експертиза </t>
  </si>
  <si>
    <t xml:space="preserve">Нове будівництво транспортно-логістичного центру для вантажних автомобілів по Баштанському шосе(11 Промзона) в м. Миколаєві, в т.ч. виготовлення проекту землеустрою , проектно-кошторисної документації,проведення екпертизи </t>
  </si>
  <si>
    <t>Нове будівництво тролейбусної лінії по пр.Богоявленському, від міського автовокзалу до вул.Гагаріна в м.Миколаєві, у т.ч. проектно-вишукувальні роботи та експертиза</t>
  </si>
  <si>
    <t>Нове будівництво мереж зовнішнього освітлення між вул. Маячною-вул. 295 Стрілецької Дивізії та вул. Менделєєва-вул. Гагаріна в м.Миколаєві, у т.ч. проектні роботи та експертиза</t>
  </si>
  <si>
    <t>Нове будівництво каналізаційної мережі по пров. 5-му Парниковому та Новому інвалідному хутору в м.Миколаєві, у тому числі коригування проектно-кошторисної документації та експертиза</t>
  </si>
  <si>
    <t>Будівництво світлофорного об'єкту в м.Миколаєві по вул.Троїцькій  ріг вул.Новозаводської , у т.ч. проектні роботи та експертиза</t>
  </si>
  <si>
    <t>Нове будівництво світлофорного об'єкту в м. Миколаєві по вул. Херсонське шосе  ріг вул. Новозаводської, у т.ч. проектні роботи та експертиза</t>
  </si>
  <si>
    <t>Нове будівництво каналізації по вул. 3 Воєнній (Сиваської дивізії) в Центральному районі м. Миколаєва, у т.ч. коригування проекту та експертиза</t>
  </si>
  <si>
    <t>Нове будівництво дороги від вул. Індустріальної до вул. Озерної  в м. Миколаєві, у тому числі проектні роботи та експертиза</t>
  </si>
  <si>
    <t xml:space="preserve">Ліквідація  підтоплення Широкої Балки, будівництво дренажного колектору, у тому числі корегування та експертиза проектно-кошторисної документації  </t>
  </si>
  <si>
    <t>Реконструкція диспетчерського обладнання ліфтів багатоповерхових житлових будинків у місті Миколаєві, Центральний район, у тому числі проектні роботи та експертиза</t>
  </si>
  <si>
    <t xml:space="preserve">Реконструкція диспетчерського обладнання ліфтів багатоповерхових житлових будинків у місті Миколаєві, Заводський  район, у тому числі проектні роботи та експертиза </t>
  </si>
  <si>
    <t>Реконструкція житлового будинку по вул. Айвазовського,3 у м.Миколаєві, у тому числі коригування проектно-кошторисної документації та експертиза</t>
  </si>
  <si>
    <t>Реконструкція дороги  по вул. Національної гвардії, від вул. Доктора Самойловича до вул. Олега Ольжича в Корабельному районі м.Миколаєва, у тому числі проектні роботи та експертиза</t>
  </si>
  <si>
    <t>Реконструкція скверу  "Манганарівський" («Пролетарський»),  обмеженого вулицями Адміральською- 1 Слобідською - Нікольською -Інженерною в Центральному районі м.Миколаєва,  у тому числі корегування проекту та експертиза</t>
  </si>
  <si>
    <t>Реконструкція скверу «Миколаївський»  – території рекреаційного призначення, розташованої по вул.  Космонавтів, біля ЗОШ № 20, будинків №№ 68-а, 70 по вул. Миколаївській у Інгульському (Ленінському) районі м. Миколаєва, у тому числі проектні роботи та експертиза</t>
  </si>
  <si>
    <t>Реконструкція зеленої зони  по вул. Знаменській, 8а в Корабельному районі м. Миколаєва, в тому числі проектні роботи та експертиза</t>
  </si>
  <si>
    <t>Реконструкція транспортної розв'язки на Широкобальському шляхопроводі, в тому числі проектні роботи та еспертиза</t>
  </si>
  <si>
    <t>Розробка проекту архетипів тимчасових споруд для провадження підприємницької діяльності на території  м.Миколаєва</t>
  </si>
  <si>
    <t>Розробки проекту комплексної схеми розміщення тимчасових споруд для провадження підприємницької діяльності на території м.Миколаєва (схема планувальних обмежень)</t>
  </si>
  <si>
    <t xml:space="preserve">Розробка проекту реконструкції та паспортизації з благоустроєм та озелененням вул.Соборної, в Центральному районі м.Миколаєва  </t>
  </si>
  <si>
    <t>Розробка проекту  реконструкції площі Соборної та частини Флотського бульвару у Центральному районі м.Миколаєва</t>
  </si>
  <si>
    <t>Розробка проекту архетипів зупинок та зупинкових комплексів на території  м.Миколаєва</t>
  </si>
  <si>
    <t>Розробка проекту розміщення декоративних елементів МАФ (парклетів) з благоустроєм та озелененням прилеглої території в історичній частині м.Миколаєва</t>
  </si>
  <si>
    <t>Реконструкція місцевої автоматизованої системи централізованого оповіщення про загрозу або виникнення надзвичайних ситуацій у м.Миколаєві, у тому числі проектні роботи та експертиза</t>
  </si>
  <si>
    <t xml:space="preserve">Реконструкція з термосанацією будівлі дошкільного навчального закладу №106 за адресою: м.Миколаїв, пр.Богоявленський, 297, в т.ч. проектно - вишукувальні роботи та експертиза </t>
  </si>
  <si>
    <t xml:space="preserve">Реконструкція з термосанацією будівлі дошкільного навчального закладу №123 за адресою: м.Миколаїв, вул. Радісна, 4, в т.ч. проектно - вишукувальні роботи та експертиза  </t>
  </si>
  <si>
    <t xml:space="preserve">Реконструкція з термосанацією будівлі дошкільного навчального закладу №29 за адресою: м.Миколаїв, вул. Колодязна, 9, в т.ч. проектно - вишукувальні роботи та експертиза </t>
  </si>
  <si>
    <t xml:space="preserve">Реконструкція з термосанацією будівлі дошкільного навчального закладу №148 за адресою: м.Миколаїв, вул. Чкалова, 80, в т.ч. проектно - вишукувальні роботи та експертиза </t>
  </si>
  <si>
    <t xml:space="preserve">Реконструкція з термосанацією будівлі дошкільного навчального закладу №87 за адресою: м.Миколаїв, вул. Привільна, 57, в т.ч. проектно - вишукувальні роботи та експертиза </t>
  </si>
  <si>
    <t xml:space="preserve">Реконструкція з термосанацією будівлі дошкільного навчального закладу №66 за адресою: м.Миколаїв, вул. Квітнева, 4, в т.ч. проектно - вишукувальні роботи та експертиза </t>
  </si>
  <si>
    <t xml:space="preserve">Реконструкція з термосанацією будівлі дошкільного навчального закладу №52 за адресою: м.Миколаїв, пров. Парусний, 7-Б,  в т.ч. проектно - вишукувальні роботи та експертиза </t>
  </si>
  <si>
    <t xml:space="preserve">Реконструкція з термосанацією будівлі дошкільного навчального закладу №5 за адресою: м.Миколаїв, вул. Колодязна, 41, в т.ч. проектно - вишукувальні роботи та експертиза </t>
  </si>
  <si>
    <t xml:space="preserve">Реконструкція з термосанацією будівлі першого корпусу Миколаївської загальноосвітньої школи I-III ступенів №60 за адресою: м.Миколаїв, вул. Чорноморська, 1 А, в т. ч. проектно - вишукувальні роботи та експертиза </t>
  </si>
  <si>
    <t xml:space="preserve">Реконструкція з термосанацією будівлі Миколаївської загальноосвітньої школи I-III ступенів №3 за адресою: м.Миколаїв, вул. Чкалова, 114, в т.ч. проектно - вишукувальні роботи та експертиза </t>
  </si>
  <si>
    <t xml:space="preserve">Реконструкція з термосанацією будівлі Миколаївської загальноосвітньої школи I-III ступенів №57 за адресою: м.Миколаїв, вул. Лазурна, 46, в т.ч. проектно - вишукувальні роботи та експертиза </t>
  </si>
  <si>
    <t xml:space="preserve">Реконструкція з термосанацією будівлі Миколаївської загальноосвітньої школи I-III ступенів №56 за адресою: м.Миколаїв, вул. Космонавтів, 138-А, в т.ч. проектно - вишукувальні роботи та  експертиза </t>
  </si>
  <si>
    <t xml:space="preserve">Реконструкція з термосанацією будівлі Миколаївської загальноосвітньої школи I-III ступенів №48 за адресою: м.Миколаїв, вул. Генерала Попеля, 164, в т.ч. проектно - вишукувальні роботи та експертиза </t>
  </si>
  <si>
    <t xml:space="preserve">Реконструкція з термосанацією будівлі Миколаївської загальноосвітньої школи I-III ступенів №14 за адресою: м.Миколаїв, вул.Вільна (Свободна), 38, в т.ч. проектно - вишукувальні роботи та експертиза </t>
  </si>
  <si>
    <t xml:space="preserve">Реконструкція з термосанацією будівлі Миколаївської загальноосвітньої школи I-III ступенів №32 за адресою: м.Миколаїв, вул. Оберегова (Гайдара), 1, в т.ч. проектно - вишукувальні роботи та експертиза </t>
  </si>
  <si>
    <t xml:space="preserve">Реконструкція з термосанацією будівлі Миколаївської загальноосвітньої школи I-III ступенів №53 за адресою: м.Миколаїв, вул. Потьомкінська, 154, в т.ч. проектно - вишукувальні роботи та експертиза </t>
  </si>
  <si>
    <t xml:space="preserve">Реконструкція з термосанацією будівлі гімназії №4 за адресою: м.Миколаїв, вул. Лазурна, 48, в т.ч. проектно- вишукувальні роботи та експертиза  </t>
  </si>
  <si>
    <t>Реконструкція з термосанацією будівлі Миколаївської загальноосвітньої школи I-III ступенів №29 за адресою: м.Миколаїв, вул. Гетьмана Сагайдачного (Ватутіна), 124, в т.ч. проектно-вишукувальні роботи та експертиза</t>
  </si>
  <si>
    <t xml:space="preserve">Реконструкція з термосанацією будівлі Миколаївської загальноосвітньої школи I-III ступенів №4 за адресою: м.Миколаїв, вул. Мала Морська,78, в т.ч. проектно - вишукувальні роботи та експертиза </t>
  </si>
  <si>
    <t xml:space="preserve">Реконструкція з термосанацією будівлі Миколаївської загальноосвітньої школи I-III ступенів №45 за адресою: м.Миколаїв, вул. 4Поздовжня, 58, в т.ч. проектно - вишукувальні роботи та експертиза </t>
  </si>
  <si>
    <t>Нове будівництво каналізації по вул.Чкалова від вул.Рюміна до вул.Пушкінська, вул.Дунаєва від вул.Рюміна до вул.Пушкінська, вул.Сінна від вул.Рюміна до вул.Пушкінська, вул.Защука від вул.Рюміна до вул.Пушкінська, вул.Рюміна від вул. Защука до вул.Чкалова, вул.Андрєєва-Палагнюка від вул.Защука до вул.Чкалова, вул.Пушкінська від вул.Защука до вул.Чкалова у м.Миколаєві, у тому числі передпроектні, проектні роботи та експертиза</t>
  </si>
  <si>
    <t xml:space="preserve">Нове будівництво каналізації на території житлового фонду приватного сектору у мікрорайоні Ялти у м. Миколаєві, у тому числі передпроектні, проектні роботи та експертиза  </t>
  </si>
  <si>
    <t>Нове будівництво зливової каналізації на Залізничному селищі приватного сектору в м. Миколаєві , у тому числі передпроектні, проектні роботи та експертиза</t>
  </si>
  <si>
    <t>Нове будівництво зливової каналізації по вул.5 Слобідська до вул.Чкалова у м. Миколаєві, у тому числі передпроектні, проектні роботи та експертиза</t>
  </si>
  <si>
    <t>Реконструкція стадіону "Юність" за адресою: вул.Погранична, 15 у м.Миколаєві, у тому числі передпроектні, проектні роботи та експертиза</t>
  </si>
  <si>
    <t>Реконструкція міні-стадіону з влаштуванням спортивного майданчика за адресою: вул. Озерна, 29, 31 у м. Миколаєві, у тому числі проектні роботи та експертиза</t>
  </si>
  <si>
    <t>Благоустрій території для створення містечка спорту «Корабельний» в районі спортивного комплексу «Водолій» за адресою: пр.Богоявленський (Жовтневий), 325, 327 в м.Миколаєві (нове будівництво), у т.ч. проектні роботи та експертиза</t>
  </si>
  <si>
    <t>Нове будівництво дитячого спортивно-ігрового комплексу «Лінкор» на території містечка «Корабельний» по пр. Богоявленському, 325, 327 у Корабельному районі м. Миколаєва, у т.ч. проектні роботи та експертиза</t>
  </si>
  <si>
    <t>Нове будівництво водогону по вул. Відродження у Корабельному районі м.Миколаєва, у т.ч. проектні роботи та експертиза</t>
  </si>
  <si>
    <t>Будівництво каналізаційних мереж у мкр. Широка Балка (східна частина) м. Миколаєва, у т.ч. проектні роботи та експертиза</t>
  </si>
  <si>
    <t>Будівництво каналізаційної мережі по вул. Гаражній у м.Миколаєві, в т.ч.  проектно-кошторисна документація та експертиза</t>
  </si>
  <si>
    <t>Виготовлення проектно-кошторисної документації по реконструкції скверу по вул.Скульптора Ізмалкова-вул.Генерала Свиридова-вул.9 Поздовжня в Інгульському районі м.Миколаєва</t>
  </si>
  <si>
    <t>Виготовлення проектно-кошторисної документації по реконструкції скверу по вул.Скульптора Ізмалкова-вул.Генерала Свиридова-вул.9 Поздовжня в Інгульському районі м.Миколаєваза рахунок субвенції з державного бюджету місцевим бюджетам на здійснення заходів щодо соціально- економічного розвитку окремих територій)</t>
  </si>
  <si>
    <t>Нове будівництво світлофорного об'єкту в м. Миколаєві по пр. Миру  ріг вул. Новозаводської, у т.ч. проектні роботи та експертиза</t>
  </si>
  <si>
    <t>за 2017 рік</t>
  </si>
  <si>
    <t>Найменування заходів,  об'єктів будівництва та реконструкції відповідно до проектно-кошторисної документації</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</si>
</sst>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0"/>
    <numFmt numFmtId="197" formatCode="0.000"/>
    <numFmt numFmtId="198" formatCode="0.0000"/>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0.00000"/>
    <numFmt numFmtId="204" formatCode="#,##0.000"/>
    <numFmt numFmtId="205" formatCode="#,##0.0"/>
    <numFmt numFmtId="206" formatCode="0.000000"/>
    <numFmt numFmtId="207" formatCode="0.0000000"/>
    <numFmt numFmtId="208" formatCode="[$-422]d\ mmmm\ yyyy&quot; р.&quot;"/>
    <numFmt numFmtId="209" formatCode="#,##0.0000"/>
    <numFmt numFmtId="210" formatCode="#,##0.00000"/>
    <numFmt numFmtId="211" formatCode="#,##0.000000"/>
  </numFmts>
  <fonts count="56">
    <font>
      <sz val="10"/>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b/>
      <i/>
      <sz val="12"/>
      <name val="Times New Roman"/>
      <family val="1"/>
    </font>
    <font>
      <sz val="14"/>
      <name val="Times New Roman"/>
      <family val="1"/>
    </font>
    <font>
      <b/>
      <sz val="14"/>
      <name val="Times New Roman"/>
      <family val="1"/>
    </font>
    <font>
      <b/>
      <sz val="12"/>
      <color indexed="8"/>
      <name val="Times New Roman"/>
      <family val="1"/>
    </font>
    <font>
      <sz val="12"/>
      <color indexed="8"/>
      <name val="Times New Roman"/>
      <family val="1"/>
    </font>
    <font>
      <sz val="10"/>
      <name val="Times New Roman"/>
      <family val="1"/>
    </font>
    <font>
      <sz val="10"/>
      <color indexed="8"/>
      <name val="Times New Roman"/>
      <family val="1"/>
    </font>
    <font>
      <sz val="10"/>
      <color indexed="8"/>
      <name val="Arial"/>
      <family val="2"/>
    </font>
    <font>
      <sz val="11"/>
      <color indexed="8"/>
      <name val="Times New Roman"/>
      <family val="1"/>
    </font>
    <font>
      <b/>
      <sz val="10"/>
      <color indexed="8"/>
      <name val="Times New Roman"/>
      <family val="1"/>
    </font>
    <font>
      <sz val="16"/>
      <name val="Times New Roman"/>
      <family val="1"/>
    </font>
    <font>
      <sz val="10"/>
      <name val="Arial"/>
      <family val="2"/>
    </font>
    <font>
      <sz val="11"/>
      <name val="Times New Roman"/>
      <family val="1"/>
    </font>
    <font>
      <b/>
      <i/>
      <sz val="16"/>
      <name val="Times New Roman"/>
      <family val="1"/>
    </font>
    <font>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16" fillId="0" borderId="0">
      <alignment/>
      <protection/>
    </xf>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2" fillId="0" borderId="0">
      <alignment vertical="top"/>
      <protection/>
    </xf>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2"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1" borderId="0" applyNumberFormat="0" applyBorder="0" applyAlignment="0" applyProtection="0"/>
  </cellStyleXfs>
  <cellXfs count="55">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xf>
    <xf numFmtId="1" fontId="4" fillId="0" borderId="0" xfId="0" applyNumberFormat="1" applyFont="1" applyFill="1" applyAlignment="1">
      <alignment horizontal="left" vertical="center" wrapText="1"/>
    </xf>
    <xf numFmtId="0" fontId="4" fillId="0" borderId="0" xfId="0" applyFont="1" applyFill="1" applyAlignment="1">
      <alignment horizontal="left" vertical="center" wrapText="1"/>
    </xf>
    <xf numFmtId="0" fontId="15" fillId="0" borderId="0" xfId="0" applyFont="1" applyFill="1" applyAlignment="1">
      <alignment/>
    </xf>
    <xf numFmtId="0" fontId="6" fillId="0" borderId="0" xfId="0" applyFont="1" applyFill="1" applyAlignment="1">
      <alignment/>
    </xf>
    <xf numFmtId="0" fontId="17" fillId="0" borderId="0" xfId="0" applyFont="1" applyFill="1" applyAlignment="1">
      <alignment horizontal="left" vertical="center"/>
    </xf>
    <xf numFmtId="0" fontId="4" fillId="0" borderId="0" xfId="0" applyFont="1" applyFill="1" applyAlignment="1">
      <alignment horizontal="left" vertical="top" wrapText="1"/>
    </xf>
    <xf numFmtId="0" fontId="4" fillId="0" borderId="0" xfId="0" applyFont="1" applyFill="1" applyAlignment="1">
      <alignment horizontal="left" vertical="top"/>
    </xf>
    <xf numFmtId="0" fontId="6" fillId="0" borderId="0" xfId="0" applyFont="1" applyFill="1" applyAlignment="1">
      <alignment horizontal="center"/>
    </xf>
    <xf numFmtId="1" fontId="8" fillId="0" borderId="10" xfId="0" applyNumberFormat="1" applyFont="1" applyFill="1" applyBorder="1" applyAlignment="1" applyProtection="1">
      <alignment horizontal="center" vertical="center"/>
      <protection locked="0"/>
    </xf>
    <xf numFmtId="4" fontId="8" fillId="0" borderId="10" xfId="0" applyNumberFormat="1" applyFont="1" applyFill="1" applyBorder="1" applyAlignment="1" applyProtection="1">
      <alignment horizontal="center" vertical="center"/>
      <protection locked="0"/>
    </xf>
    <xf numFmtId="4" fontId="8" fillId="0" borderId="10" xfId="0" applyNumberFormat="1" applyFont="1" applyFill="1" applyBorder="1" applyAlignment="1" applyProtection="1">
      <alignment horizontal="left" vertical="top" wrapText="1"/>
      <protection locked="0"/>
    </xf>
    <xf numFmtId="4" fontId="14" fillId="0" borderId="10" xfId="0" applyNumberFormat="1" applyFont="1" applyFill="1" applyBorder="1" applyAlignment="1" applyProtection="1">
      <alignment horizontal="left" vertical="top" wrapText="1"/>
      <protection locked="0"/>
    </xf>
    <xf numFmtId="205" fontId="3"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54" fillId="0" borderId="10" xfId="0" applyFont="1" applyFill="1" applyBorder="1" applyAlignment="1">
      <alignment vertical="top" wrapText="1"/>
    </xf>
    <xf numFmtId="205" fontId="9" fillId="0" borderId="10" xfId="0" applyNumberFormat="1" applyFont="1" applyFill="1" applyBorder="1" applyAlignment="1">
      <alignment horizontal="center" vertical="center"/>
    </xf>
    <xf numFmtId="205" fontId="4" fillId="0" borderId="10" xfId="0" applyNumberFormat="1" applyFont="1" applyFill="1" applyBorder="1" applyAlignment="1">
      <alignment horizontal="center" vertical="center"/>
    </xf>
    <xf numFmtId="1" fontId="8" fillId="0" borderId="10" xfId="0" applyNumberFormat="1" applyFont="1" applyFill="1" applyBorder="1" applyAlignment="1">
      <alignment horizontal="center" vertical="center" wrapText="1"/>
    </xf>
    <xf numFmtId="3" fontId="8" fillId="0" borderId="10" xfId="0" applyNumberFormat="1" applyFont="1" applyFill="1" applyBorder="1" applyAlignment="1" applyProtection="1">
      <alignment horizontal="center" vertical="center"/>
      <protection locked="0"/>
    </xf>
    <xf numFmtId="1" fontId="9"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top" wrapText="1"/>
    </xf>
    <xf numFmtId="205" fontId="4"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left" vertical="top" wrapText="1"/>
    </xf>
    <xf numFmtId="205" fontId="55" fillId="0" borderId="10" xfId="0" applyNumberFormat="1" applyFont="1" applyFill="1" applyBorder="1" applyAlignment="1">
      <alignment horizontal="center" vertical="center" wrapText="1"/>
    </xf>
    <xf numFmtId="205" fontId="11" fillId="0" borderId="10" xfId="50" applyNumberFormat="1" applyFont="1" applyFill="1" applyBorder="1" applyAlignment="1">
      <alignment vertical="top" wrapText="1"/>
      <protection/>
    </xf>
    <xf numFmtId="205" fontId="13" fillId="0" borderId="10" xfId="50" applyNumberFormat="1" applyFont="1" applyFill="1" applyBorder="1" applyAlignment="1">
      <alignment horizontal="center" vertical="center"/>
      <protection/>
    </xf>
    <xf numFmtId="4" fontId="11" fillId="0" borderId="10" xfId="0" applyNumberFormat="1" applyFont="1" applyFill="1" applyBorder="1" applyAlignment="1" applyProtection="1">
      <alignment horizontal="left" vertical="top" wrapText="1"/>
      <protection locked="0"/>
    </xf>
    <xf numFmtId="0" fontId="10" fillId="0" borderId="10" xfId="0" applyFont="1" applyFill="1" applyBorder="1" applyAlignment="1">
      <alignment vertical="center" wrapText="1"/>
    </xf>
    <xf numFmtId="205" fontId="19" fillId="0" borderId="10" xfId="50" applyNumberFormat="1" applyFont="1" applyFill="1" applyBorder="1" applyAlignment="1">
      <alignment vertical="top" wrapText="1"/>
      <protection/>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1"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2" fontId="3" fillId="0" borderId="10" xfId="0" applyNumberFormat="1" applyFont="1" applyFill="1" applyBorder="1" applyAlignment="1" applyProtection="1">
      <alignment horizontal="left" vertical="top"/>
      <protection/>
    </xf>
    <xf numFmtId="0" fontId="10" fillId="0" borderId="10" xfId="0" applyFont="1" applyFill="1" applyBorder="1" applyAlignment="1">
      <alignment horizontal="left" wrapText="1"/>
    </xf>
    <xf numFmtId="0" fontId="11" fillId="0" borderId="10" xfId="0" applyFont="1" applyFill="1" applyBorder="1" applyAlignment="1">
      <alignment horizontal="left" wrapText="1"/>
    </xf>
    <xf numFmtId="4" fontId="11" fillId="0" borderId="10" xfId="0" applyNumberFormat="1" applyFont="1" applyFill="1" applyBorder="1" applyAlignment="1">
      <alignment horizontal="left" wrapText="1"/>
    </xf>
    <xf numFmtId="4" fontId="11" fillId="0" borderId="10" xfId="0" applyNumberFormat="1" applyFont="1" applyFill="1" applyBorder="1" applyAlignment="1" applyProtection="1">
      <alignment horizontal="left" wrapText="1"/>
      <protection locked="0"/>
    </xf>
    <xf numFmtId="0" fontId="54" fillId="0" borderId="10" xfId="0" applyFont="1" applyFill="1" applyBorder="1" applyAlignment="1">
      <alignment horizontal="left" wrapText="1"/>
    </xf>
    <xf numFmtId="0" fontId="5" fillId="0" borderId="0" xfId="0" applyFont="1" applyBorder="1" applyAlignment="1" quotePrefix="1">
      <alignment horizontal="center" vertical="center" wrapText="1"/>
    </xf>
    <xf numFmtId="0" fontId="5" fillId="0" borderId="0" xfId="0" applyFont="1" applyBorder="1" applyAlignment="1">
      <alignment horizontal="center" vertical="center" wrapText="1"/>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0" fillId="0" borderId="0" xfId="0" applyFont="1" applyFill="1" applyAlignment="1">
      <alignment horizontal="left" vertical="top" wrapText="1"/>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G157"/>
  <sheetViews>
    <sheetView tabSelected="1" zoomScaleSheetLayoutView="80" workbookViewId="0" topLeftCell="C127">
      <selection activeCell="A98" sqref="A98:IV99"/>
    </sheetView>
  </sheetViews>
  <sheetFormatPr defaultColWidth="9.00390625" defaultRowHeight="12.75"/>
  <cols>
    <col min="1" max="1" width="12.625" style="1" hidden="1" customWidth="1"/>
    <col min="2" max="2" width="12.375" style="2" hidden="1" customWidth="1"/>
    <col min="3" max="3" width="9.875" style="5" customWidth="1"/>
    <col min="4" max="4" width="8.75390625" style="6" customWidth="1"/>
    <col min="5" max="5" width="51.00390625" style="6" customWidth="1"/>
    <col min="6" max="6" width="16.375" style="3" customWidth="1"/>
    <col min="7" max="7" width="17.625" style="3" customWidth="1"/>
    <col min="8" max="16384" width="9.125" style="1" customWidth="1"/>
  </cols>
  <sheetData>
    <row r="1" spans="1:7" ht="16.5" customHeight="1">
      <c r="A1" s="49" t="s">
        <v>4</v>
      </c>
      <c r="B1" s="49"/>
      <c r="C1" s="49"/>
      <c r="D1" s="49"/>
      <c r="E1" s="49"/>
      <c r="F1" s="49"/>
      <c r="G1" s="49"/>
    </row>
    <row r="2" spans="1:7" ht="54.75" customHeight="1">
      <c r="A2" s="50" t="s">
        <v>30</v>
      </c>
      <c r="B2" s="50"/>
      <c r="C2" s="50"/>
      <c r="D2" s="50"/>
      <c r="E2" s="50"/>
      <c r="F2" s="50"/>
      <c r="G2" s="50"/>
    </row>
    <row r="3" spans="1:7" ht="15.75" customHeight="1">
      <c r="A3" s="45" t="s">
        <v>8</v>
      </c>
      <c r="B3" s="45"/>
      <c r="C3" s="45"/>
      <c r="D3" s="45"/>
      <c r="E3" s="45"/>
      <c r="F3" s="45"/>
      <c r="G3" s="45"/>
    </row>
    <row r="4" spans="1:7" ht="15.75" customHeight="1">
      <c r="A4" s="44" t="s">
        <v>150</v>
      </c>
      <c r="B4" s="45"/>
      <c r="C4" s="45"/>
      <c r="D4" s="45"/>
      <c r="E4" s="45"/>
      <c r="F4" s="45"/>
      <c r="G4" s="45"/>
    </row>
    <row r="5" spans="5:7" ht="13.5" customHeight="1">
      <c r="E5" s="34"/>
      <c r="F5" s="35"/>
      <c r="G5" s="35" t="s">
        <v>10</v>
      </c>
    </row>
    <row r="6" spans="1:7" ht="35.25" customHeight="1">
      <c r="A6" s="51" t="s">
        <v>2</v>
      </c>
      <c r="B6" s="51"/>
      <c r="C6" s="53" t="s">
        <v>29</v>
      </c>
      <c r="D6" s="53" t="s">
        <v>0</v>
      </c>
      <c r="E6" s="46" t="s">
        <v>151</v>
      </c>
      <c r="F6" s="53" t="s">
        <v>28</v>
      </c>
      <c r="G6" s="53" t="s">
        <v>3</v>
      </c>
    </row>
    <row r="7" spans="1:7" ht="43.5" customHeight="1">
      <c r="A7" s="52"/>
      <c r="B7" s="52"/>
      <c r="C7" s="54"/>
      <c r="D7" s="54"/>
      <c r="E7" s="47"/>
      <c r="F7" s="54"/>
      <c r="G7" s="54"/>
    </row>
    <row r="8" spans="2:7" s="10" customFormat="1" ht="15" customHeight="1">
      <c r="B8" s="11"/>
      <c r="C8" s="36"/>
      <c r="D8" s="37"/>
      <c r="E8" s="38" t="s">
        <v>1</v>
      </c>
      <c r="F8" s="17">
        <f>F9</f>
        <v>176137.44462999998</v>
      </c>
      <c r="G8" s="17">
        <f>G9</f>
        <v>118471.90315000003</v>
      </c>
    </row>
    <row r="9" spans="2:7" s="3" customFormat="1" ht="15.75">
      <c r="B9" s="4"/>
      <c r="C9" s="36"/>
      <c r="D9" s="37"/>
      <c r="E9" s="38" t="s">
        <v>9</v>
      </c>
      <c r="F9" s="26">
        <f>F10+F142</f>
        <v>176137.44462999998</v>
      </c>
      <c r="G9" s="26">
        <f>G10+G142</f>
        <v>118471.90315000003</v>
      </c>
    </row>
    <row r="10" spans="2:7" s="3" customFormat="1" ht="15.75">
      <c r="B10" s="4"/>
      <c r="C10" s="13">
        <v>6300</v>
      </c>
      <c r="D10" s="14"/>
      <c r="E10" s="15" t="s">
        <v>5</v>
      </c>
      <c r="F10" s="17">
        <f>F11+F100+F98+F133+F127</f>
        <v>155569.11862999998</v>
      </c>
      <c r="G10" s="17">
        <f>G11+G100+G98+G133+G127</f>
        <v>97903.57715000003</v>
      </c>
    </row>
    <row r="11" spans="2:7" s="3" customFormat="1" ht="31.5">
      <c r="B11" s="4"/>
      <c r="C11" s="22">
        <v>6310</v>
      </c>
      <c r="D11" s="14"/>
      <c r="E11" s="15" t="s">
        <v>39</v>
      </c>
      <c r="F11" s="17">
        <f>F12+F56+F60+F96</f>
        <v>114308.01662999998</v>
      </c>
      <c r="G11" s="17">
        <f>G12+G56+G60+G96</f>
        <v>75321.17337000002</v>
      </c>
    </row>
    <row r="12" spans="2:7" s="3" customFormat="1" ht="30" customHeight="1">
      <c r="B12" s="4"/>
      <c r="C12" s="22">
        <v>6310</v>
      </c>
      <c r="D12" s="13"/>
      <c r="E12" s="15" t="s">
        <v>22</v>
      </c>
      <c r="F12" s="17">
        <f>SUM(F13:F55)</f>
        <v>54346.29490999999</v>
      </c>
      <c r="G12" s="17">
        <f>SUM(G13:G55)</f>
        <v>35502.27882000001</v>
      </c>
    </row>
    <row r="13" spans="2:7" s="3" customFormat="1" ht="38.25" customHeight="1">
      <c r="B13" s="4"/>
      <c r="C13" s="24">
        <v>6310</v>
      </c>
      <c r="D13" s="18">
        <v>3122</v>
      </c>
      <c r="E13" s="27" t="s">
        <v>44</v>
      </c>
      <c r="F13" s="20">
        <f>3000-800-730.607</f>
        <v>1469.393</v>
      </c>
      <c r="G13" s="20">
        <f>312.64088</f>
        <v>312.64088</v>
      </c>
    </row>
    <row r="14" spans="2:7" s="3" customFormat="1" ht="37.5" customHeight="1">
      <c r="B14" s="4"/>
      <c r="C14" s="24">
        <v>6310</v>
      </c>
      <c r="D14" s="18">
        <v>3122</v>
      </c>
      <c r="E14" s="27" t="s">
        <v>45</v>
      </c>
      <c r="F14" s="20">
        <v>730.607</v>
      </c>
      <c r="G14" s="20">
        <v>130.022</v>
      </c>
    </row>
    <row r="15" spans="2:7" s="3" customFormat="1" ht="40.5" customHeight="1">
      <c r="B15" s="4"/>
      <c r="C15" s="24">
        <v>6310</v>
      </c>
      <c r="D15" s="18">
        <v>3122</v>
      </c>
      <c r="E15" s="27" t="s">
        <v>52</v>
      </c>
      <c r="F15" s="20">
        <f>2000-463</f>
        <v>1537</v>
      </c>
      <c r="G15" s="20">
        <f>14.16978+425.22136+34.55386+1031.7223-1017.1208</f>
        <v>488.5464999999998</v>
      </c>
    </row>
    <row r="16" spans="2:7" s="3" customFormat="1" ht="38.25">
      <c r="B16" s="4"/>
      <c r="C16" s="24">
        <v>6310</v>
      </c>
      <c r="D16" s="18">
        <v>3122</v>
      </c>
      <c r="E16" s="25" t="s">
        <v>53</v>
      </c>
      <c r="F16" s="20">
        <f>2000-383-1600.78+54.066</f>
        <v>70.28600000000003</v>
      </c>
      <c r="G16" s="26">
        <f>16.21968+1.13951+37.84592</f>
        <v>55.205110000000005</v>
      </c>
    </row>
    <row r="17" spans="2:7" s="3" customFormat="1" ht="38.25">
      <c r="B17" s="4"/>
      <c r="C17" s="24">
        <v>6310</v>
      </c>
      <c r="D17" s="18">
        <v>3122</v>
      </c>
      <c r="E17" s="25" t="s">
        <v>54</v>
      </c>
      <c r="F17" s="20">
        <f>8018.35+630+5+1400+2056.61</f>
        <v>12109.960000000001</v>
      </c>
      <c r="G17" s="26">
        <f>2524.58817+2003.62007+1081.62316+1359.32419+409.72923+371.31357+0.624+581.67872</f>
        <v>8332.501110000001</v>
      </c>
    </row>
    <row r="18" spans="2:7" s="3" customFormat="1" ht="25.5" customHeight="1">
      <c r="B18" s="4"/>
      <c r="C18" s="24">
        <v>6310</v>
      </c>
      <c r="D18" s="18">
        <v>3122</v>
      </c>
      <c r="E18" s="19" t="s">
        <v>64</v>
      </c>
      <c r="F18" s="28">
        <f>11320-114</f>
        <v>11206</v>
      </c>
      <c r="G18" s="26">
        <f>11320-114</f>
        <v>11206</v>
      </c>
    </row>
    <row r="19" spans="2:7" s="3" customFormat="1" ht="64.5" customHeight="1">
      <c r="B19" s="4"/>
      <c r="C19" s="24">
        <v>6310</v>
      </c>
      <c r="D19" s="18">
        <v>3122</v>
      </c>
      <c r="E19" s="19" t="s">
        <v>65</v>
      </c>
      <c r="F19" s="28">
        <v>350</v>
      </c>
      <c r="G19" s="26">
        <v>350</v>
      </c>
    </row>
    <row r="20" spans="2:7" s="3" customFormat="1" ht="40.5" customHeight="1">
      <c r="B20" s="4"/>
      <c r="C20" s="24">
        <v>6310</v>
      </c>
      <c r="D20" s="18">
        <v>3122</v>
      </c>
      <c r="E20" s="19" t="s">
        <v>66</v>
      </c>
      <c r="F20" s="28">
        <v>256.317</v>
      </c>
      <c r="G20" s="26">
        <f>4.40654+3+14.43274+3.09346+127.85499+99.71578+0.07361</f>
        <v>252.57712</v>
      </c>
    </row>
    <row r="21" spans="2:7" s="3" customFormat="1" ht="51">
      <c r="B21" s="4"/>
      <c r="C21" s="24">
        <v>6310</v>
      </c>
      <c r="D21" s="18">
        <v>3122</v>
      </c>
      <c r="E21" s="19" t="s">
        <v>67</v>
      </c>
      <c r="F21" s="28">
        <v>196</v>
      </c>
      <c r="G21" s="26">
        <f>150.81077+41.74639</f>
        <v>192.55715999999998</v>
      </c>
    </row>
    <row r="22" spans="2:7" s="3" customFormat="1" ht="51">
      <c r="B22" s="4"/>
      <c r="C22" s="24">
        <v>6310</v>
      </c>
      <c r="D22" s="18">
        <v>3122</v>
      </c>
      <c r="E22" s="29" t="s">
        <v>68</v>
      </c>
      <c r="F22" s="28">
        <f>750-196</f>
        <v>554</v>
      </c>
      <c r="G22" s="26">
        <f>159.4857+125.373+2.96521+139.382+142.68111-24.26468</f>
        <v>545.62234</v>
      </c>
    </row>
    <row r="23" spans="2:7" s="3" customFormat="1" ht="40.5" customHeight="1">
      <c r="B23" s="4"/>
      <c r="C23" s="24">
        <v>6310</v>
      </c>
      <c r="D23" s="18">
        <v>3122</v>
      </c>
      <c r="E23" s="29" t="s">
        <v>69</v>
      </c>
      <c r="F23" s="28">
        <v>196</v>
      </c>
      <c r="G23" s="26">
        <v>196</v>
      </c>
    </row>
    <row r="24" spans="2:7" s="3" customFormat="1" ht="38.25">
      <c r="B24" s="4"/>
      <c r="C24" s="24">
        <v>6310</v>
      </c>
      <c r="D24" s="18">
        <v>3122</v>
      </c>
      <c r="E24" s="29" t="s">
        <v>70</v>
      </c>
      <c r="F24" s="28">
        <v>400</v>
      </c>
      <c r="G24" s="26"/>
    </row>
    <row r="25" spans="2:7" s="3" customFormat="1" ht="88.5" customHeight="1">
      <c r="B25" s="4"/>
      <c r="C25" s="24">
        <v>6310</v>
      </c>
      <c r="D25" s="18">
        <v>3122</v>
      </c>
      <c r="E25" s="29" t="s">
        <v>82</v>
      </c>
      <c r="F25" s="28">
        <v>80</v>
      </c>
      <c r="G25" s="26">
        <v>0</v>
      </c>
    </row>
    <row r="26" spans="2:7" s="3" customFormat="1" ht="51" customHeight="1">
      <c r="B26" s="4"/>
      <c r="C26" s="24">
        <v>6310</v>
      </c>
      <c r="D26" s="18">
        <v>3122</v>
      </c>
      <c r="E26" s="29" t="s">
        <v>83</v>
      </c>
      <c r="F26" s="28">
        <f>50-20.93558</f>
        <v>29.06442</v>
      </c>
      <c r="G26" s="26"/>
    </row>
    <row r="27" spans="2:7" s="3" customFormat="1" ht="51" customHeight="1">
      <c r="B27" s="4"/>
      <c r="C27" s="24">
        <v>6310</v>
      </c>
      <c r="D27" s="18">
        <v>3122</v>
      </c>
      <c r="E27" s="29" t="s">
        <v>84</v>
      </c>
      <c r="F27" s="20">
        <f>50-20.93558</f>
        <v>29.06442</v>
      </c>
      <c r="G27" s="26">
        <f>14.53221+14.08379</f>
        <v>28.616</v>
      </c>
    </row>
    <row r="28" spans="2:7" s="3" customFormat="1" ht="51.75" customHeight="1">
      <c r="B28" s="4"/>
      <c r="C28" s="24">
        <v>6310</v>
      </c>
      <c r="D28" s="18">
        <v>3122</v>
      </c>
      <c r="E28" s="29" t="s">
        <v>85</v>
      </c>
      <c r="F28" s="28">
        <f>50-20.93558</f>
        <v>29.06442</v>
      </c>
      <c r="G28" s="26">
        <f>14.53221+14.08379</f>
        <v>28.616</v>
      </c>
    </row>
    <row r="29" spans="2:7" s="3" customFormat="1" ht="50.25" customHeight="1">
      <c r="B29" s="4"/>
      <c r="C29" s="24">
        <v>6310</v>
      </c>
      <c r="D29" s="18">
        <v>3122</v>
      </c>
      <c r="E29" s="29" t="s">
        <v>86</v>
      </c>
      <c r="F29" s="28">
        <f>200+434.123</f>
        <v>634.123</v>
      </c>
      <c r="G29" s="26">
        <f>59.94039</f>
        <v>59.94039</v>
      </c>
    </row>
    <row r="30" spans="2:7" s="3" customFormat="1" ht="38.25" customHeight="1">
      <c r="B30" s="4"/>
      <c r="C30" s="24">
        <v>6310</v>
      </c>
      <c r="D30" s="18">
        <v>3122</v>
      </c>
      <c r="E30" s="29" t="s">
        <v>87</v>
      </c>
      <c r="F30" s="28">
        <v>1600</v>
      </c>
      <c r="G30" s="26">
        <f>435.84+965.46207</f>
        <v>1401.30207</v>
      </c>
    </row>
    <row r="31" spans="2:7" s="3" customFormat="1" ht="51">
      <c r="B31" s="4"/>
      <c r="C31" s="24">
        <v>6310</v>
      </c>
      <c r="D31" s="18">
        <v>3122</v>
      </c>
      <c r="E31" s="29" t="s">
        <v>88</v>
      </c>
      <c r="F31" s="28">
        <v>3000</v>
      </c>
      <c r="G31" s="26">
        <f>6.27288+2993.72712-2989.41792</f>
        <v>10.582080000000133</v>
      </c>
    </row>
    <row r="32" spans="2:7" s="3" customFormat="1" ht="38.25">
      <c r="B32" s="4"/>
      <c r="C32" s="24">
        <v>6310</v>
      </c>
      <c r="D32" s="18">
        <v>3122</v>
      </c>
      <c r="E32" s="19" t="s">
        <v>89</v>
      </c>
      <c r="F32" s="28">
        <f>1000+1588.297</f>
        <v>2588.297</v>
      </c>
      <c r="G32" s="26">
        <f>21.37779+49.88151+731.1+503.42419+1265.16244-758.11404</f>
        <v>1812.83189</v>
      </c>
    </row>
    <row r="33" spans="2:7" s="3" customFormat="1" ht="38.25">
      <c r="B33" s="4"/>
      <c r="C33" s="24">
        <v>6310</v>
      </c>
      <c r="D33" s="18">
        <v>3122</v>
      </c>
      <c r="E33" s="19" t="s">
        <v>90</v>
      </c>
      <c r="F33" s="28">
        <f>1900+600+334.195</f>
        <v>2834.195</v>
      </c>
      <c r="G33" s="26">
        <f>12.26652+245.77911+256.84293+187.63538+199.41633+545.8103+216.26118+385.98736+215.8943+7.695+560.60659-373.35906</f>
        <v>2460.83594</v>
      </c>
    </row>
    <row r="34" spans="2:7" s="3" customFormat="1" ht="38.25">
      <c r="B34" s="4"/>
      <c r="C34" s="24">
        <v>6310</v>
      </c>
      <c r="D34" s="18">
        <v>3122</v>
      </c>
      <c r="E34" s="19" t="s">
        <v>91</v>
      </c>
      <c r="F34" s="28">
        <v>1800</v>
      </c>
      <c r="G34" s="26">
        <f>1616.91297+178.69801-10.23004</f>
        <v>1785.3809400000002</v>
      </c>
    </row>
    <row r="35" spans="2:7" s="3" customFormat="1" ht="51">
      <c r="B35" s="4"/>
      <c r="C35" s="24">
        <v>6310</v>
      </c>
      <c r="D35" s="18">
        <v>3122</v>
      </c>
      <c r="E35" s="19" t="s">
        <v>92</v>
      </c>
      <c r="F35" s="28">
        <v>180</v>
      </c>
      <c r="G35" s="26">
        <f>33.259-12.584</f>
        <v>20.675</v>
      </c>
    </row>
    <row r="36" spans="2:7" s="3" customFormat="1" ht="37.5" customHeight="1">
      <c r="B36" s="4"/>
      <c r="C36" s="24">
        <v>6310</v>
      </c>
      <c r="D36" s="18">
        <v>3122</v>
      </c>
      <c r="E36" s="19" t="s">
        <v>19</v>
      </c>
      <c r="F36" s="28">
        <f>6.497+1731.7057-1731.7057</f>
        <v>6.497000000000071</v>
      </c>
      <c r="G36" s="26">
        <f>6.497+1731.7057-1731.7057</f>
        <v>6.497000000000071</v>
      </c>
    </row>
    <row r="37" spans="2:7" s="3" customFormat="1" ht="38.25">
      <c r="B37" s="4"/>
      <c r="C37" s="24">
        <v>6310</v>
      </c>
      <c r="D37" s="18">
        <v>3122</v>
      </c>
      <c r="E37" s="25" t="s">
        <v>93</v>
      </c>
      <c r="F37" s="20">
        <v>986</v>
      </c>
      <c r="G37" s="26">
        <f>295.5291</f>
        <v>295.5291</v>
      </c>
    </row>
    <row r="38" spans="2:7" s="3" customFormat="1" ht="40.5" customHeight="1">
      <c r="B38" s="4"/>
      <c r="C38" s="24">
        <v>6310</v>
      </c>
      <c r="D38" s="18">
        <v>3122</v>
      </c>
      <c r="E38" s="31" t="s">
        <v>94</v>
      </c>
      <c r="F38" s="26">
        <f>2400-209.886</f>
        <v>2190.114</v>
      </c>
      <c r="G38" s="26">
        <f>20.35222+47.48851+6.977+615+13.00614+6.156+1472.97516</f>
        <v>2181.95503</v>
      </c>
    </row>
    <row r="39" spans="2:7" s="3" customFormat="1" ht="51">
      <c r="B39" s="4"/>
      <c r="C39" s="24">
        <v>6310</v>
      </c>
      <c r="D39" s="18">
        <v>3122</v>
      </c>
      <c r="E39" s="19" t="s">
        <v>95</v>
      </c>
      <c r="F39" s="20">
        <f>1382.824+142.789</f>
        <v>1525.613</v>
      </c>
      <c r="G39" s="26">
        <f>442.09595+508.86151+3.55+430.91596-0.00046</f>
        <v>1385.42296</v>
      </c>
    </row>
    <row r="40" spans="2:7" s="3" customFormat="1" ht="38.25" customHeight="1">
      <c r="B40" s="4"/>
      <c r="C40" s="24">
        <v>6310</v>
      </c>
      <c r="D40" s="18">
        <v>3122</v>
      </c>
      <c r="E40" s="19" t="s">
        <v>96</v>
      </c>
      <c r="F40" s="26">
        <f>600+196.82-793.536</f>
        <v>3.283999999999992</v>
      </c>
      <c r="G40" s="26">
        <f>3.2832</f>
        <v>3.2832</v>
      </c>
    </row>
    <row r="41" spans="2:7" s="3" customFormat="1" ht="38.25">
      <c r="B41" s="4"/>
      <c r="C41" s="24">
        <v>6310</v>
      </c>
      <c r="D41" s="18">
        <v>3122</v>
      </c>
      <c r="E41" s="19" t="s">
        <v>97</v>
      </c>
      <c r="F41" s="26">
        <f>600+795.68-1359.18</f>
        <v>36.49999999999977</v>
      </c>
      <c r="G41" s="26">
        <f>3.64716+32.65693</f>
        <v>36.30409</v>
      </c>
    </row>
    <row r="42" spans="2:7" s="3" customFormat="1" ht="38.25">
      <c r="B42" s="4"/>
      <c r="C42" s="24">
        <v>6310</v>
      </c>
      <c r="D42" s="18">
        <v>3122</v>
      </c>
      <c r="E42" s="19" t="s">
        <v>149</v>
      </c>
      <c r="F42" s="26">
        <v>789.76</v>
      </c>
      <c r="G42" s="26">
        <v>411.42391</v>
      </c>
    </row>
    <row r="43" spans="2:7" s="3" customFormat="1" ht="38.25">
      <c r="B43" s="4"/>
      <c r="C43" s="24">
        <v>6310</v>
      </c>
      <c r="D43" s="18">
        <v>3122</v>
      </c>
      <c r="E43" s="19" t="s">
        <v>20</v>
      </c>
      <c r="F43" s="26">
        <f>600+160.97-757.686</f>
        <v>3.283999999999992</v>
      </c>
      <c r="G43" s="26">
        <f>3.2832</f>
        <v>3.2832</v>
      </c>
    </row>
    <row r="44" spans="2:7" s="3" customFormat="1" ht="39.75" customHeight="1">
      <c r="B44" s="4"/>
      <c r="C44" s="24">
        <v>6310</v>
      </c>
      <c r="D44" s="18">
        <v>3122</v>
      </c>
      <c r="E44" s="19" t="s">
        <v>98</v>
      </c>
      <c r="F44" s="26">
        <v>4529.414</v>
      </c>
      <c r="G44" s="26">
        <f>11.26711+2.565</f>
        <v>13.83211</v>
      </c>
    </row>
    <row r="45" spans="2:7" s="3" customFormat="1" ht="38.25">
      <c r="B45" s="4"/>
      <c r="C45" s="24">
        <v>6310</v>
      </c>
      <c r="D45" s="18">
        <v>3122</v>
      </c>
      <c r="E45" s="19" t="s">
        <v>99</v>
      </c>
      <c r="F45" s="26">
        <v>600</v>
      </c>
      <c r="G45" s="26">
        <v>306</v>
      </c>
    </row>
    <row r="46" spans="2:7" s="3" customFormat="1" ht="38.25">
      <c r="B46" s="4"/>
      <c r="C46" s="24">
        <v>6310</v>
      </c>
      <c r="D46" s="18">
        <v>3122</v>
      </c>
      <c r="E46" s="19" t="s">
        <v>100</v>
      </c>
      <c r="F46" s="26">
        <f>2262.403-2212.403-3.12655</f>
        <v>46.87345</v>
      </c>
      <c r="G46" s="26">
        <f>1.168</f>
        <v>1.168</v>
      </c>
    </row>
    <row r="47" spans="2:7" s="3" customFormat="1" ht="105" customHeight="1">
      <c r="B47" s="4"/>
      <c r="C47" s="24">
        <v>6310</v>
      </c>
      <c r="D47" s="18">
        <v>3122</v>
      </c>
      <c r="E47" s="39" t="s">
        <v>136</v>
      </c>
      <c r="F47" s="26">
        <f>500-350</f>
        <v>150</v>
      </c>
      <c r="G47" s="21">
        <f>96.28909</f>
        <v>96.28909</v>
      </c>
    </row>
    <row r="48" spans="2:7" s="3" customFormat="1" ht="38.25">
      <c r="B48" s="4"/>
      <c r="C48" s="24">
        <v>6310</v>
      </c>
      <c r="D48" s="18">
        <v>3122</v>
      </c>
      <c r="E48" s="39" t="s">
        <v>137</v>
      </c>
      <c r="F48" s="26">
        <f>1005.248-605.248</f>
        <v>400</v>
      </c>
      <c r="G48" s="21">
        <f>96.85587+210.99703</f>
        <v>307.8529</v>
      </c>
    </row>
    <row r="49" spans="2:7" s="3" customFormat="1" ht="38.25">
      <c r="B49" s="4"/>
      <c r="C49" s="24">
        <v>6310</v>
      </c>
      <c r="D49" s="18">
        <v>3122</v>
      </c>
      <c r="E49" s="39" t="s">
        <v>138</v>
      </c>
      <c r="F49" s="26">
        <f>500-380</f>
        <v>120</v>
      </c>
      <c r="G49" s="21">
        <f>9.9723+27.8777+44.746</f>
        <v>82.596</v>
      </c>
    </row>
    <row r="50" spans="2:7" s="3" customFormat="1" ht="38.25">
      <c r="B50" s="4"/>
      <c r="C50" s="24">
        <v>6310</v>
      </c>
      <c r="D50" s="18">
        <v>3122</v>
      </c>
      <c r="E50" s="39" t="s">
        <v>139</v>
      </c>
      <c r="F50" s="26">
        <f>180-120</f>
        <v>60</v>
      </c>
      <c r="G50" s="21">
        <f>5.9811+10.74141+8.893</f>
        <v>25.61551</v>
      </c>
    </row>
    <row r="51" spans="2:7" s="3" customFormat="1" ht="63.75">
      <c r="B51" s="4"/>
      <c r="C51" s="24">
        <v>6310</v>
      </c>
      <c r="D51" s="18">
        <v>3122</v>
      </c>
      <c r="E51" s="32" t="s">
        <v>142</v>
      </c>
      <c r="F51" s="26">
        <f>337-53.85526</f>
        <v>283.14474</v>
      </c>
      <c r="G51" s="21">
        <f>283.14474</f>
        <v>283.14474</v>
      </c>
    </row>
    <row r="52" spans="2:7" s="3" customFormat="1" ht="51">
      <c r="B52" s="4"/>
      <c r="C52" s="24">
        <v>6310</v>
      </c>
      <c r="D52" s="18">
        <v>3122</v>
      </c>
      <c r="E52" s="32" t="s">
        <v>143</v>
      </c>
      <c r="F52" s="26">
        <v>200</v>
      </c>
      <c r="G52" s="21">
        <f>68.90982+126.89134+4.10916</f>
        <v>199.91031999999998</v>
      </c>
    </row>
    <row r="53" spans="2:7" s="3" customFormat="1" ht="38.25">
      <c r="B53" s="4"/>
      <c r="C53" s="24">
        <v>6310</v>
      </c>
      <c r="D53" s="18">
        <v>3122</v>
      </c>
      <c r="E53" s="32" t="s">
        <v>144</v>
      </c>
      <c r="F53" s="26">
        <f>34+38.36246</f>
        <v>72.36246</v>
      </c>
      <c r="G53" s="21">
        <f>71.99942</f>
        <v>71.99942</v>
      </c>
    </row>
    <row r="54" spans="2:7" s="3" customFormat="1" ht="24" customHeight="1">
      <c r="B54" s="4"/>
      <c r="C54" s="24">
        <v>6310</v>
      </c>
      <c r="D54" s="18">
        <v>3122</v>
      </c>
      <c r="E54" s="39" t="s">
        <v>145</v>
      </c>
      <c r="F54" s="26">
        <v>400</v>
      </c>
      <c r="G54" s="21">
        <f>119.74971-0.03</f>
        <v>119.71970999999999</v>
      </c>
    </row>
    <row r="55" spans="2:7" s="3" customFormat="1" ht="38.25">
      <c r="B55" s="4"/>
      <c r="C55" s="24">
        <v>6310</v>
      </c>
      <c r="D55" s="18">
        <v>3122</v>
      </c>
      <c r="E55" s="29" t="s">
        <v>146</v>
      </c>
      <c r="F55" s="26">
        <f>1467.077-403-1000</f>
        <v>64.077</v>
      </c>
      <c r="G55" s="21">
        <f>64.077-64.077</f>
        <v>0</v>
      </c>
    </row>
    <row r="56" spans="2:7" s="3" customFormat="1" ht="15.75">
      <c r="B56" s="4"/>
      <c r="C56" s="22">
        <v>6310</v>
      </c>
      <c r="D56" s="23"/>
      <c r="E56" s="15" t="s">
        <v>23</v>
      </c>
      <c r="F56" s="17">
        <f>SUM(F57:F59)</f>
        <v>5640.793009999999</v>
      </c>
      <c r="G56" s="17">
        <f>SUM(G57:G59)</f>
        <v>3549.7303699999993</v>
      </c>
    </row>
    <row r="57" spans="2:7" s="3" customFormat="1" ht="51">
      <c r="B57" s="4"/>
      <c r="C57" s="24">
        <v>6310</v>
      </c>
      <c r="D57" s="18">
        <v>3141</v>
      </c>
      <c r="E57" s="40" t="s">
        <v>101</v>
      </c>
      <c r="F57" s="20">
        <f>1450-1327.91603</f>
        <v>122.08396999999991</v>
      </c>
      <c r="G57" s="26">
        <f>36.62519+85.45878</f>
        <v>122.08397000000001</v>
      </c>
    </row>
    <row r="58" spans="2:7" s="3" customFormat="1" ht="38.25" customHeight="1">
      <c r="B58" s="4"/>
      <c r="C58" s="24">
        <v>6310</v>
      </c>
      <c r="D58" s="18">
        <v>3141</v>
      </c>
      <c r="E58" s="42" t="s">
        <v>102</v>
      </c>
      <c r="F58" s="26">
        <f>1480-1362.00196</f>
        <v>117.99803999999995</v>
      </c>
      <c r="G58" s="26">
        <f>35.3994+0.00001+82.59863</f>
        <v>117.99804</v>
      </c>
    </row>
    <row r="59" spans="2:7" s="3" customFormat="1" ht="38.25">
      <c r="B59" s="4"/>
      <c r="C59" s="24">
        <v>6310</v>
      </c>
      <c r="D59" s="18">
        <v>3141</v>
      </c>
      <c r="E59" s="42" t="s">
        <v>103</v>
      </c>
      <c r="F59" s="26">
        <f>3310.711+2090</f>
        <v>5400.710999999999</v>
      </c>
      <c r="G59" s="26">
        <f>966.98848+887.25433+283.01793+8.07975+383.54544+781.54134-0.77891</f>
        <v>3309.6483599999992</v>
      </c>
    </row>
    <row r="60" spans="2:7" s="3" customFormat="1" ht="16.5" customHeight="1">
      <c r="B60" s="4"/>
      <c r="C60" s="22">
        <v>6310</v>
      </c>
      <c r="D60" s="23"/>
      <c r="E60" s="15" t="s">
        <v>24</v>
      </c>
      <c r="F60" s="17">
        <f>SUM(F61:F95)</f>
        <v>53594.64470999999</v>
      </c>
      <c r="G60" s="17">
        <f>SUM(G61:G95)</f>
        <v>35575.81507000002</v>
      </c>
    </row>
    <row r="61" spans="2:7" s="3" customFormat="1" ht="36.75" customHeight="1">
      <c r="B61" s="4"/>
      <c r="C61" s="24">
        <v>6310</v>
      </c>
      <c r="D61" s="18">
        <v>3142</v>
      </c>
      <c r="E61" s="43" t="s">
        <v>16</v>
      </c>
      <c r="F61" s="20">
        <v>301.979</v>
      </c>
      <c r="G61" s="26">
        <f>68.73359+91.31556+64.70917+63.53605</f>
        <v>288.29437</v>
      </c>
    </row>
    <row r="62" spans="2:7" s="3" customFormat="1" ht="38.25">
      <c r="B62" s="4"/>
      <c r="C62" s="24">
        <v>6310</v>
      </c>
      <c r="D62" s="18">
        <v>3142</v>
      </c>
      <c r="E62" s="43" t="s">
        <v>55</v>
      </c>
      <c r="F62" s="20">
        <v>200</v>
      </c>
      <c r="G62" s="26">
        <v>174</v>
      </c>
    </row>
    <row r="63" spans="2:7" s="3" customFormat="1" ht="38.25">
      <c r="B63" s="4"/>
      <c r="C63" s="24">
        <v>6310</v>
      </c>
      <c r="D63" s="18">
        <v>3142</v>
      </c>
      <c r="E63" s="43" t="s">
        <v>56</v>
      </c>
      <c r="F63" s="20">
        <v>4500</v>
      </c>
      <c r="G63" s="26">
        <f>263.93216+800.08142+439.41702+439.41702-439.41702+2.69325+2356.29287</f>
        <v>3862.41672</v>
      </c>
    </row>
    <row r="64" spans="2:7" s="3" customFormat="1" ht="38.25">
      <c r="B64" s="4"/>
      <c r="C64" s="24">
        <v>6310</v>
      </c>
      <c r="D64" s="18">
        <v>3142</v>
      </c>
      <c r="E64" s="40" t="s">
        <v>57</v>
      </c>
      <c r="F64" s="26">
        <f>1048.392-300+300+318</f>
        <v>1366.392</v>
      </c>
      <c r="G64" s="26">
        <f>272.19163+380.42519+276.81431+2.4624+318</f>
        <v>1249.8935299999998</v>
      </c>
    </row>
    <row r="65" spans="2:7" s="3" customFormat="1" ht="51">
      <c r="B65" s="4"/>
      <c r="C65" s="24">
        <v>6310</v>
      </c>
      <c r="D65" s="18">
        <v>3142</v>
      </c>
      <c r="E65" s="40" t="s">
        <v>59</v>
      </c>
      <c r="F65" s="26">
        <f>6084.487+999.222-2.246+1215-1445</f>
        <v>6851.463</v>
      </c>
      <c r="G65" s="26">
        <f>1150+77.7453+663.7093+14.5209+320.90947+4624.57803-2925.63581</f>
        <v>3925.8271899999995</v>
      </c>
    </row>
    <row r="66" spans="2:7" s="3" customFormat="1" ht="53.25" customHeight="1">
      <c r="B66" s="4"/>
      <c r="C66" s="24">
        <v>6310</v>
      </c>
      <c r="D66" s="18">
        <v>3142</v>
      </c>
      <c r="E66" s="40" t="s">
        <v>18</v>
      </c>
      <c r="F66" s="26">
        <f>3428.824-297.492-964.804</f>
        <v>2166.528</v>
      </c>
      <c r="G66" s="26">
        <f>611.62252+185.68307+421.31056+3.07353+334.04981+183.0488+120.78449+90+164+1017.75922-964.804-0.00129</f>
        <v>2166.526709999999</v>
      </c>
    </row>
    <row r="67" spans="2:7" s="3" customFormat="1" ht="39" customHeight="1">
      <c r="B67" s="4"/>
      <c r="C67" s="24">
        <v>6310</v>
      </c>
      <c r="D67" s="18">
        <v>3142</v>
      </c>
      <c r="E67" s="40" t="s">
        <v>60</v>
      </c>
      <c r="F67" s="26">
        <v>4580</v>
      </c>
      <c r="G67" s="26">
        <f>1194.72642+26.07498+138.15337+26.50249+3.21926+5.47327+21.4337+16.00575+27.12084+157.13381+92.1844+230.74855+5.47883+170.5522+439.30168+253.25477+0.27+5.81629+12.825+1753.72439-42.94766</f>
        <v>4537.052340000001</v>
      </c>
    </row>
    <row r="68" spans="2:7" s="3" customFormat="1" ht="54" customHeight="1">
      <c r="B68" s="4"/>
      <c r="C68" s="24">
        <v>6310</v>
      </c>
      <c r="D68" s="18">
        <v>3142</v>
      </c>
      <c r="E68" s="41" t="s">
        <v>61</v>
      </c>
      <c r="F68" s="26">
        <f>5100+800</f>
        <v>5900</v>
      </c>
      <c r="G68" s="26">
        <f>2000+1500+1600+800-237.69609</f>
        <v>5662.30391</v>
      </c>
    </row>
    <row r="69" spans="2:7" s="3" customFormat="1" ht="38.25">
      <c r="B69" s="4"/>
      <c r="C69" s="24">
        <v>6310</v>
      </c>
      <c r="D69" s="18">
        <v>3142</v>
      </c>
      <c r="E69" s="43" t="s">
        <v>17</v>
      </c>
      <c r="F69" s="26">
        <f>4155.424-1431.784</f>
        <v>2723.64</v>
      </c>
      <c r="G69" s="26">
        <f>10.7876+2000+712.8524-51.97443</f>
        <v>2671.66557</v>
      </c>
    </row>
    <row r="70" spans="2:7" s="3" customFormat="1" ht="51">
      <c r="B70" s="4"/>
      <c r="C70" s="24">
        <v>6310</v>
      </c>
      <c r="D70" s="18">
        <v>3142</v>
      </c>
      <c r="E70" s="43" t="s">
        <v>62</v>
      </c>
      <c r="F70" s="26">
        <v>650</v>
      </c>
      <c r="G70" s="26">
        <f>191.52024</f>
        <v>191.52024</v>
      </c>
    </row>
    <row r="71" spans="2:7" s="3" customFormat="1" ht="38.25">
      <c r="B71" s="4"/>
      <c r="C71" s="24">
        <v>6310</v>
      </c>
      <c r="D71" s="18">
        <v>3142</v>
      </c>
      <c r="E71" s="43" t="s">
        <v>63</v>
      </c>
      <c r="F71" s="26">
        <f>430+465.728-362.804</f>
        <v>532.9240000000001</v>
      </c>
      <c r="G71" s="26">
        <f>1.2312+248.67374+53.52706+208.4748</f>
        <v>511.9068</v>
      </c>
    </row>
    <row r="72" spans="2:7" s="3" customFormat="1" ht="51">
      <c r="B72" s="4"/>
      <c r="C72" s="24">
        <v>6310</v>
      </c>
      <c r="D72" s="18">
        <v>3142</v>
      </c>
      <c r="E72" s="43" t="s">
        <v>71</v>
      </c>
      <c r="F72" s="26">
        <v>2450</v>
      </c>
      <c r="G72" s="26">
        <f>29.80384+89.51824+419.73447+399.93022+277.25851+349.06393+148.58235+0.00001+498.98126+6.15599+42.86324</f>
        <v>2261.8920600000006</v>
      </c>
    </row>
    <row r="73" spans="2:7" s="3" customFormat="1" ht="38.25">
      <c r="B73" s="4"/>
      <c r="C73" s="24">
        <v>6310</v>
      </c>
      <c r="D73" s="18">
        <v>3142</v>
      </c>
      <c r="E73" s="43" t="s">
        <v>72</v>
      </c>
      <c r="F73" s="26">
        <f>4350-3000</f>
        <v>1350</v>
      </c>
      <c r="G73" s="26">
        <f>10.10205+292.09314-292.09314</f>
        <v>10.10205000000002</v>
      </c>
    </row>
    <row r="74" spans="2:7" s="3" customFormat="1" ht="39.75" customHeight="1">
      <c r="B74" s="4"/>
      <c r="C74" s="24">
        <v>6310</v>
      </c>
      <c r="D74" s="18">
        <v>3142</v>
      </c>
      <c r="E74" s="43" t="s">
        <v>73</v>
      </c>
      <c r="F74" s="28">
        <v>166</v>
      </c>
      <c r="G74" s="26">
        <f>49.8+102.1136</f>
        <v>151.9136</v>
      </c>
    </row>
    <row r="75" spans="2:7" s="3" customFormat="1" ht="51">
      <c r="B75" s="4"/>
      <c r="C75" s="24">
        <v>6310</v>
      </c>
      <c r="D75" s="18">
        <v>3142</v>
      </c>
      <c r="E75" s="43" t="s">
        <v>74</v>
      </c>
      <c r="F75" s="28">
        <f>8500-8000-479.088</f>
        <v>20.911999999999978</v>
      </c>
      <c r="G75" s="26">
        <f>14.08292+6.82889</f>
        <v>20.91181</v>
      </c>
    </row>
    <row r="76" spans="2:7" s="3" customFormat="1" ht="51">
      <c r="B76" s="4"/>
      <c r="C76" s="24">
        <v>6310</v>
      </c>
      <c r="D76" s="18">
        <v>3142</v>
      </c>
      <c r="E76" s="43" t="s">
        <v>75</v>
      </c>
      <c r="F76" s="28">
        <v>50</v>
      </c>
      <c r="G76" s="26">
        <f>49.98</f>
        <v>49.98</v>
      </c>
    </row>
    <row r="77" spans="2:7" s="3" customFormat="1" ht="38.25">
      <c r="B77" s="4"/>
      <c r="C77" s="24">
        <v>6310</v>
      </c>
      <c r="D77" s="18">
        <v>3142</v>
      </c>
      <c r="E77" s="43" t="s">
        <v>76</v>
      </c>
      <c r="F77" s="28">
        <v>2488.01</v>
      </c>
      <c r="G77" s="26">
        <f>2488.01-1197.74122</f>
        <v>1290.26878</v>
      </c>
    </row>
    <row r="78" spans="2:7" s="3" customFormat="1" ht="51">
      <c r="B78" s="4"/>
      <c r="C78" s="24">
        <v>6310</v>
      </c>
      <c r="D78" s="18">
        <v>3142</v>
      </c>
      <c r="E78" s="43" t="s">
        <v>104</v>
      </c>
      <c r="F78" s="28">
        <v>500</v>
      </c>
      <c r="G78" s="26">
        <f>254.99592+244.99608-244.99608</f>
        <v>254.99592</v>
      </c>
    </row>
    <row r="79" spans="2:7" s="3" customFormat="1" ht="51" customHeight="1">
      <c r="B79" s="4"/>
      <c r="C79" s="24">
        <v>6310</v>
      </c>
      <c r="D79" s="18">
        <v>3142</v>
      </c>
      <c r="E79" s="43" t="s">
        <v>105</v>
      </c>
      <c r="F79" s="28">
        <v>80</v>
      </c>
      <c r="G79" s="26"/>
    </row>
    <row r="80" spans="2:7" s="3" customFormat="1" ht="63.75">
      <c r="B80" s="4"/>
      <c r="C80" s="24">
        <v>6310</v>
      </c>
      <c r="D80" s="18">
        <v>3142</v>
      </c>
      <c r="E80" s="43" t="s">
        <v>106</v>
      </c>
      <c r="F80" s="28">
        <f>200-0.38178</f>
        <v>199.61822</v>
      </c>
      <c r="G80" s="26">
        <f>184.24096</f>
        <v>184.24096</v>
      </c>
    </row>
    <row r="81" spans="2:7" s="3" customFormat="1" ht="38.25">
      <c r="B81" s="4"/>
      <c r="C81" s="24">
        <v>6310</v>
      </c>
      <c r="D81" s="18">
        <v>3142</v>
      </c>
      <c r="E81" s="42" t="s">
        <v>107</v>
      </c>
      <c r="F81" s="26">
        <f>150-23.97451</f>
        <v>126.02549</v>
      </c>
      <c r="G81" s="26"/>
    </row>
    <row r="82" spans="2:7" s="3" customFormat="1" ht="28.5" customHeight="1">
      <c r="B82" s="4"/>
      <c r="C82" s="24">
        <v>6310</v>
      </c>
      <c r="D82" s="18">
        <v>3142</v>
      </c>
      <c r="E82" s="43" t="s">
        <v>108</v>
      </c>
      <c r="F82" s="26">
        <v>500</v>
      </c>
      <c r="G82" s="26">
        <f>149.9976+149.99832-45</f>
        <v>254.99592</v>
      </c>
    </row>
    <row r="83" spans="2:7" s="3" customFormat="1" ht="51" customHeight="1">
      <c r="B83" s="4"/>
      <c r="C83" s="24">
        <v>6310</v>
      </c>
      <c r="D83" s="18">
        <v>3142</v>
      </c>
      <c r="E83" s="43" t="s">
        <v>115</v>
      </c>
      <c r="F83" s="26">
        <v>600</v>
      </c>
      <c r="G83" s="26">
        <f>19.36578+29.87999</f>
        <v>49.24577</v>
      </c>
    </row>
    <row r="84" spans="2:7" s="3" customFormat="1" ht="51">
      <c r="B84" s="4"/>
      <c r="C84" s="24">
        <v>6310</v>
      </c>
      <c r="D84" s="18">
        <v>3142</v>
      </c>
      <c r="E84" s="39" t="s">
        <v>116</v>
      </c>
      <c r="F84" s="26">
        <v>7987.452</v>
      </c>
      <c r="G84" s="21">
        <f>119.3691+0.9474+118.4217+198.9485+118.1693</f>
        <v>555.856</v>
      </c>
    </row>
    <row r="85" spans="2:7" s="3" customFormat="1" ht="37.5" customHeight="1">
      <c r="B85" s="4"/>
      <c r="C85" s="24">
        <v>6310</v>
      </c>
      <c r="D85" s="18">
        <v>3142</v>
      </c>
      <c r="E85" s="39" t="s">
        <v>117</v>
      </c>
      <c r="F85" s="26">
        <f>6645.317-5900</f>
        <v>745.317</v>
      </c>
      <c r="G85" s="21">
        <f>110.7948+110.7948+184.658+32.4534</f>
        <v>438.70099999999996</v>
      </c>
    </row>
    <row r="86" spans="2:7" s="3" customFormat="1" ht="51">
      <c r="B86" s="4"/>
      <c r="C86" s="24">
        <v>6310</v>
      </c>
      <c r="D86" s="18">
        <v>3142</v>
      </c>
      <c r="E86" s="39" t="s">
        <v>118</v>
      </c>
      <c r="F86" s="26">
        <v>704.56</v>
      </c>
      <c r="G86" s="21">
        <f>115.1079+115.1079+191.8465+264.1167</f>
        <v>686.179</v>
      </c>
    </row>
    <row r="87" spans="2:7" s="3" customFormat="1" ht="51">
      <c r="B87" s="4"/>
      <c r="C87" s="24">
        <v>6310</v>
      </c>
      <c r="D87" s="18">
        <v>3142</v>
      </c>
      <c r="E87" s="39" t="s">
        <v>119</v>
      </c>
      <c r="F87" s="26">
        <v>639.31</v>
      </c>
      <c r="G87" s="21">
        <f>120.97903+322.61077+106.2679</f>
        <v>549.8577</v>
      </c>
    </row>
    <row r="88" spans="2:7" s="3" customFormat="1" ht="51">
      <c r="B88" s="4"/>
      <c r="C88" s="24">
        <v>6310</v>
      </c>
      <c r="D88" s="18">
        <v>3142</v>
      </c>
      <c r="E88" s="39" t="s">
        <v>120</v>
      </c>
      <c r="F88" s="26">
        <v>617.51</v>
      </c>
      <c r="G88" s="21">
        <f>118.46736+33.69549+282.21747+89.56848-14.6316</f>
        <v>509.3172</v>
      </c>
    </row>
    <row r="89" spans="2:7" s="3" customFormat="1" ht="51">
      <c r="B89" s="4"/>
      <c r="C89" s="24">
        <v>6310</v>
      </c>
      <c r="D89" s="18">
        <v>3142</v>
      </c>
      <c r="E89" s="39" t="s">
        <v>121</v>
      </c>
      <c r="F89" s="26">
        <v>317.74</v>
      </c>
      <c r="G89" s="21">
        <f>61.326+61.326+195.088-1.3</f>
        <v>316.44</v>
      </c>
    </row>
    <row r="90" spans="2:7" s="3" customFormat="1" ht="51">
      <c r="B90" s="4"/>
      <c r="C90" s="24">
        <v>6310</v>
      </c>
      <c r="D90" s="18">
        <v>3142</v>
      </c>
      <c r="E90" s="39" t="s">
        <v>122</v>
      </c>
      <c r="F90" s="26">
        <v>674.88</v>
      </c>
      <c r="G90" s="21">
        <f>93.16449+93.16449+253.67102+162.33-0.006</f>
        <v>602.3240000000001</v>
      </c>
    </row>
    <row r="91" spans="2:7" s="3" customFormat="1" ht="51">
      <c r="B91" s="4"/>
      <c r="C91" s="24">
        <v>6310</v>
      </c>
      <c r="D91" s="18">
        <v>3142</v>
      </c>
      <c r="E91" s="39" t="s">
        <v>123</v>
      </c>
      <c r="F91" s="26">
        <v>697.91</v>
      </c>
      <c r="G91" s="21">
        <f>99.23832+99.23832+185.52336+102.12</f>
        <v>486.12</v>
      </c>
    </row>
    <row r="92" spans="2:7" s="3" customFormat="1" ht="38.25">
      <c r="B92" s="4"/>
      <c r="C92" s="24">
        <v>6310</v>
      </c>
      <c r="D92" s="18">
        <v>3142</v>
      </c>
      <c r="E92" s="39" t="s">
        <v>140</v>
      </c>
      <c r="F92" s="26">
        <f>1700-900</f>
        <v>800</v>
      </c>
      <c r="G92" s="21">
        <f>239.75424</f>
        <v>239.75424</v>
      </c>
    </row>
    <row r="93" spans="2:7" s="3" customFormat="1" ht="38.25">
      <c r="B93" s="4"/>
      <c r="C93" s="24">
        <v>6310</v>
      </c>
      <c r="D93" s="18">
        <v>3142</v>
      </c>
      <c r="E93" s="39" t="s">
        <v>141</v>
      </c>
      <c r="F93" s="26">
        <f>500+1346.119+107.355</f>
        <v>1953.474</v>
      </c>
      <c r="G93" s="21">
        <f>7.0349+565.74498+7.88463+774.745-7.0349-0.00066</f>
        <v>1348.37395</v>
      </c>
    </row>
    <row r="94" spans="2:7" s="3" customFormat="1" ht="35.25" customHeight="1">
      <c r="B94" s="4"/>
      <c r="C94" s="24">
        <v>6310</v>
      </c>
      <c r="D94" s="18">
        <v>3142</v>
      </c>
      <c r="E94" s="33" t="s">
        <v>147</v>
      </c>
      <c r="F94" s="26">
        <v>3</v>
      </c>
      <c r="G94" s="21">
        <f>3</f>
        <v>3</v>
      </c>
    </row>
    <row r="95" spans="2:7" s="3" customFormat="1" ht="48" customHeight="1">
      <c r="B95" s="4"/>
      <c r="C95" s="24">
        <v>6310</v>
      </c>
      <c r="D95" s="18">
        <v>3142</v>
      </c>
      <c r="E95" s="33" t="s">
        <v>148</v>
      </c>
      <c r="F95" s="26">
        <v>150</v>
      </c>
      <c r="G95" s="21">
        <v>69.93773</v>
      </c>
    </row>
    <row r="96" spans="2:7" s="3" customFormat="1" ht="30" customHeight="1">
      <c r="B96" s="4"/>
      <c r="C96" s="22">
        <v>6310</v>
      </c>
      <c r="D96" s="23"/>
      <c r="E96" s="15" t="s">
        <v>25</v>
      </c>
      <c r="F96" s="17">
        <f>SUM(F97:F97)</f>
        <v>726.284</v>
      </c>
      <c r="G96" s="17">
        <f>SUM(G97:G97)</f>
        <v>693.34911</v>
      </c>
    </row>
    <row r="97" spans="2:7" s="3" customFormat="1" ht="51">
      <c r="B97" s="4"/>
      <c r="C97" s="24">
        <v>6310</v>
      </c>
      <c r="D97" s="18">
        <v>3143</v>
      </c>
      <c r="E97" s="19" t="s">
        <v>58</v>
      </c>
      <c r="F97" s="28">
        <f>1000.001-273.717</f>
        <v>726.284</v>
      </c>
      <c r="G97" s="26">
        <f>202.37508+260.38776+2.16+228.54754-0.12127</f>
        <v>693.34911</v>
      </c>
    </row>
    <row r="98" spans="2:7" s="3" customFormat="1" ht="30.75" customHeight="1">
      <c r="B98" s="4"/>
      <c r="C98" s="22">
        <v>6324</v>
      </c>
      <c r="D98" s="23"/>
      <c r="E98" s="15" t="s">
        <v>40</v>
      </c>
      <c r="F98" s="17">
        <f>F99</f>
        <v>1200</v>
      </c>
      <c r="G98" s="17">
        <f>G99</f>
        <v>1200</v>
      </c>
    </row>
    <row r="99" spans="2:7" s="3" customFormat="1" ht="39" customHeight="1">
      <c r="B99" s="4"/>
      <c r="C99" s="24">
        <v>6324</v>
      </c>
      <c r="D99" s="18">
        <v>3121</v>
      </c>
      <c r="E99" s="25" t="s">
        <v>6</v>
      </c>
      <c r="F99" s="20">
        <v>1200</v>
      </c>
      <c r="G99" s="26">
        <v>1200</v>
      </c>
    </row>
    <row r="100" spans="2:7" s="3" customFormat="1" ht="47.25">
      <c r="B100" s="4"/>
      <c r="C100" s="22">
        <v>6330</v>
      </c>
      <c r="D100" s="23"/>
      <c r="E100" s="15" t="s">
        <v>41</v>
      </c>
      <c r="F100" s="17">
        <f>F101+F106+F124</f>
        <v>34791.547</v>
      </c>
      <c r="G100" s="17">
        <f>G101+G106+G124</f>
        <v>18371.30414</v>
      </c>
    </row>
    <row r="101" spans="2:7" s="3" customFormat="1" ht="31.5">
      <c r="B101" s="4"/>
      <c r="C101" s="22">
        <v>6330</v>
      </c>
      <c r="D101" s="23"/>
      <c r="E101" s="15" t="s">
        <v>26</v>
      </c>
      <c r="F101" s="17">
        <f>SUM(F102:F105)</f>
        <v>5899.761</v>
      </c>
      <c r="G101" s="17">
        <f>SUM(G102:G105)</f>
        <v>3156.3574</v>
      </c>
    </row>
    <row r="102" spans="2:7" s="3" customFormat="1" ht="26.25" customHeight="1">
      <c r="B102" s="4"/>
      <c r="C102" s="24">
        <v>6330</v>
      </c>
      <c r="D102" s="18">
        <v>3122</v>
      </c>
      <c r="E102" s="27" t="s">
        <v>46</v>
      </c>
      <c r="F102" s="20">
        <f>4210.467-1106.844-1800</f>
        <v>1303.6229999999996</v>
      </c>
      <c r="G102" s="20">
        <f>32.8392</f>
        <v>32.8392</v>
      </c>
    </row>
    <row r="103" spans="2:7" s="3" customFormat="1" ht="38.25">
      <c r="B103" s="4"/>
      <c r="C103" s="24">
        <v>6330</v>
      </c>
      <c r="D103" s="18">
        <v>3122</v>
      </c>
      <c r="E103" s="25" t="s">
        <v>47</v>
      </c>
      <c r="F103" s="20">
        <f>4750.49-956.258-3641.665</f>
        <v>152.567</v>
      </c>
      <c r="G103" s="26">
        <f>152.5668</f>
        <v>152.5668</v>
      </c>
    </row>
    <row r="104" spans="2:7" s="3" customFormat="1" ht="63.75">
      <c r="B104" s="4"/>
      <c r="C104" s="24">
        <v>6330</v>
      </c>
      <c r="D104" s="18">
        <v>3122</v>
      </c>
      <c r="E104" s="25" t="s">
        <v>11</v>
      </c>
      <c r="F104" s="20">
        <v>3524.604</v>
      </c>
      <c r="G104" s="26">
        <f>129.58465+1271.83589+184.49747+8.1+604.15812</f>
        <v>2198.17613</v>
      </c>
    </row>
    <row r="105" spans="2:7" s="3" customFormat="1" ht="38.25">
      <c r="B105" s="4"/>
      <c r="C105" s="24">
        <v>6330</v>
      </c>
      <c r="D105" s="18">
        <v>3122</v>
      </c>
      <c r="E105" s="25" t="s">
        <v>12</v>
      </c>
      <c r="F105" s="20">
        <f>1308.967-390</f>
        <v>918.9670000000001</v>
      </c>
      <c r="G105" s="26">
        <f>347.3301+59.95444+160.4329+205.41883+2.4624-0.361-2.4624</f>
        <v>772.77527</v>
      </c>
    </row>
    <row r="106" spans="2:7" s="3" customFormat="1" ht="15.75">
      <c r="B106" s="4"/>
      <c r="C106" s="22">
        <v>6330</v>
      </c>
      <c r="D106" s="23"/>
      <c r="E106" s="15" t="s">
        <v>24</v>
      </c>
      <c r="F106" s="17">
        <f>SUM(F107:F123)</f>
        <v>27931.785999999996</v>
      </c>
      <c r="G106" s="17">
        <f>SUM(G107:G123)</f>
        <v>14302.15474</v>
      </c>
    </row>
    <row r="107" spans="2:7" s="3" customFormat="1" ht="38.25">
      <c r="B107" s="4"/>
      <c r="C107" s="24">
        <v>6330</v>
      </c>
      <c r="D107" s="18">
        <v>3142</v>
      </c>
      <c r="E107" s="19" t="s">
        <v>48</v>
      </c>
      <c r="F107" s="20">
        <f>2000+800</f>
        <v>2800</v>
      </c>
      <c r="G107" s="26">
        <f>1079.15248+180.77852+386.47558+93.694+5.13</f>
        <v>1745.2305800000001</v>
      </c>
    </row>
    <row r="108" spans="2:7" s="3" customFormat="1" ht="38.25">
      <c r="B108" s="4"/>
      <c r="C108" s="24">
        <v>6330</v>
      </c>
      <c r="D108" s="18">
        <v>3142</v>
      </c>
      <c r="E108" s="19" t="s">
        <v>13</v>
      </c>
      <c r="F108" s="20">
        <f>2227.841+309.571</f>
        <v>2537.412</v>
      </c>
      <c r="G108" s="26">
        <f>4.11495+688.5+278.68467+105.51002+258.85794+6.4638+495.0453-495.0453</f>
        <v>1342.1313799999998</v>
      </c>
    </row>
    <row r="109" spans="2:7" s="3" customFormat="1" ht="38.25">
      <c r="B109" s="4"/>
      <c r="C109" s="24">
        <v>6330</v>
      </c>
      <c r="D109" s="18">
        <v>3142</v>
      </c>
      <c r="E109" s="19" t="s">
        <v>49</v>
      </c>
      <c r="F109" s="20">
        <f>250+2000</f>
        <v>2250</v>
      </c>
      <c r="G109" s="26">
        <f>10.53675+653.27112+3.317+697.70332+5.11718+880.05463-0.00482</f>
        <v>2249.99518</v>
      </c>
    </row>
    <row r="110" spans="2:7" s="3" customFormat="1" ht="52.5" customHeight="1">
      <c r="B110" s="4"/>
      <c r="C110" s="24">
        <v>6330</v>
      </c>
      <c r="D110" s="18">
        <v>3142</v>
      </c>
      <c r="E110" s="19" t="s">
        <v>14</v>
      </c>
      <c r="F110" s="26">
        <v>789.815</v>
      </c>
      <c r="G110" s="26">
        <f>41.93343+325.51595-322.95095</f>
        <v>44.498429999999985</v>
      </c>
    </row>
    <row r="111" spans="2:7" s="3" customFormat="1" ht="42" customHeight="1">
      <c r="B111" s="4"/>
      <c r="C111" s="24">
        <v>6330</v>
      </c>
      <c r="D111" s="18">
        <v>3142</v>
      </c>
      <c r="E111" s="19" t="s">
        <v>15</v>
      </c>
      <c r="F111" s="26">
        <v>1000</v>
      </c>
      <c r="G111" s="26">
        <f>292.02993+3.078+33.54576-0.00005</f>
        <v>328.65364</v>
      </c>
    </row>
    <row r="112" spans="2:7" s="3" customFormat="1" ht="51">
      <c r="B112" s="4"/>
      <c r="C112" s="24">
        <v>6330</v>
      </c>
      <c r="D112" s="18">
        <v>3142</v>
      </c>
      <c r="E112" s="32" t="s">
        <v>124</v>
      </c>
      <c r="F112" s="26">
        <v>7218.419</v>
      </c>
      <c r="G112" s="21">
        <f>115.1079+115.1079+141.9662</f>
        <v>372.182</v>
      </c>
    </row>
    <row r="113" spans="2:7" s="3" customFormat="1" ht="51">
      <c r="B113" s="4"/>
      <c r="C113" s="24">
        <v>6330</v>
      </c>
      <c r="D113" s="18">
        <v>3142</v>
      </c>
      <c r="E113" s="32" t="s">
        <v>125</v>
      </c>
      <c r="F113" s="26">
        <v>1187.97</v>
      </c>
      <c r="G113" s="21">
        <f>212.95354+567.87613+189.73048</f>
        <v>970.56015</v>
      </c>
    </row>
    <row r="114" spans="2:7" s="3" customFormat="1" ht="51">
      <c r="B114" s="4"/>
      <c r="C114" s="24">
        <v>6330</v>
      </c>
      <c r="D114" s="18">
        <v>3142</v>
      </c>
      <c r="E114" s="32" t="s">
        <v>126</v>
      </c>
      <c r="F114" s="26">
        <v>1164.98</v>
      </c>
      <c r="G114" s="21">
        <f>181.54488+181.54488+484.119+0.00024</f>
        <v>847.209</v>
      </c>
    </row>
    <row r="115" spans="2:7" s="3" customFormat="1" ht="51">
      <c r="B115" s="4"/>
      <c r="C115" s="24">
        <v>6330</v>
      </c>
      <c r="D115" s="18">
        <v>3142</v>
      </c>
      <c r="E115" s="32" t="s">
        <v>127</v>
      </c>
      <c r="F115" s="26">
        <v>1104.75</v>
      </c>
      <c r="G115" s="21">
        <f>180.76038+180.76038+482.029+0.00024</f>
        <v>843.55</v>
      </c>
    </row>
    <row r="116" spans="2:7" s="3" customFormat="1" ht="51">
      <c r="B116" s="4"/>
      <c r="C116" s="24">
        <v>6330</v>
      </c>
      <c r="D116" s="18">
        <v>3142</v>
      </c>
      <c r="E116" s="32" t="s">
        <v>128</v>
      </c>
      <c r="F116" s="26">
        <v>1273.21</v>
      </c>
      <c r="G116" s="21">
        <f>164.9628+164.9628+274.938+431.8854-414.6996</f>
        <v>622.0493999999999</v>
      </c>
    </row>
    <row r="117" spans="2:7" s="3" customFormat="1" ht="51">
      <c r="B117" s="4"/>
      <c r="C117" s="24">
        <v>6330</v>
      </c>
      <c r="D117" s="18">
        <v>3142</v>
      </c>
      <c r="E117" s="32" t="s">
        <v>129</v>
      </c>
      <c r="F117" s="26">
        <v>1067.87</v>
      </c>
      <c r="G117" s="21">
        <f>153.44242+400.35686-12</f>
        <v>541.79928</v>
      </c>
    </row>
    <row r="118" spans="2:7" s="3" customFormat="1" ht="51">
      <c r="B118" s="4"/>
      <c r="C118" s="24">
        <v>6330</v>
      </c>
      <c r="D118" s="18">
        <v>3142</v>
      </c>
      <c r="E118" s="32" t="s">
        <v>130</v>
      </c>
      <c r="F118" s="26">
        <v>662.34</v>
      </c>
      <c r="G118" s="21">
        <f>91.64399+91.64399+391.71202-56.569</f>
        <v>518.431</v>
      </c>
    </row>
    <row r="119" spans="2:7" s="3" customFormat="1" ht="51">
      <c r="B119" s="4"/>
      <c r="C119" s="24">
        <v>6330</v>
      </c>
      <c r="D119" s="18">
        <v>3142</v>
      </c>
      <c r="E119" s="32" t="s">
        <v>131</v>
      </c>
      <c r="F119" s="26">
        <v>1278.62</v>
      </c>
      <c r="G119" s="21">
        <f>265.26501+131.91849+575.45487+145.23183-30.5112</f>
        <v>1087.3590000000002</v>
      </c>
    </row>
    <row r="120" spans="2:7" s="3" customFormat="1" ht="38.25">
      <c r="B120" s="4"/>
      <c r="C120" s="24">
        <v>6330</v>
      </c>
      <c r="D120" s="18">
        <v>3142</v>
      </c>
      <c r="E120" s="32" t="s">
        <v>132</v>
      </c>
      <c r="F120" s="26">
        <v>1273.21</v>
      </c>
      <c r="G120" s="21">
        <f>198.41658+198.41658+529.11+0.00084</f>
        <v>925.9440000000001</v>
      </c>
    </row>
    <row r="121" spans="2:7" s="3" customFormat="1" ht="51">
      <c r="B121" s="4"/>
      <c r="C121" s="24">
        <v>6330</v>
      </c>
      <c r="D121" s="18">
        <v>3142</v>
      </c>
      <c r="E121" s="32" t="s">
        <v>133</v>
      </c>
      <c r="F121" s="26">
        <v>674.28</v>
      </c>
      <c r="G121" s="21">
        <f>113.0313+301.4168+114.0209</f>
        <v>528.469</v>
      </c>
    </row>
    <row r="122" spans="2:7" s="3" customFormat="1" ht="51">
      <c r="B122" s="4"/>
      <c r="C122" s="24">
        <v>6330</v>
      </c>
      <c r="D122" s="18">
        <v>3142</v>
      </c>
      <c r="E122" s="32" t="s">
        <v>134</v>
      </c>
      <c r="F122" s="26">
        <v>650.14</v>
      </c>
      <c r="G122" s="21">
        <f>110.8434+110.843+184.7394+158.4012</f>
        <v>564.827</v>
      </c>
    </row>
    <row r="123" spans="2:7" s="3" customFormat="1" ht="51">
      <c r="B123" s="4"/>
      <c r="C123" s="24">
        <v>6330</v>
      </c>
      <c r="D123" s="18">
        <v>3142</v>
      </c>
      <c r="E123" s="32" t="s">
        <v>135</v>
      </c>
      <c r="F123" s="26">
        <f>2959.532-1960.762</f>
        <v>998.7700000000002</v>
      </c>
      <c r="G123" s="21">
        <f>120.40326+178.14114+142.93422+347.19708-19.41</f>
        <v>769.2657</v>
      </c>
    </row>
    <row r="124" spans="2:7" s="3" customFormat="1" ht="31.5">
      <c r="B124" s="4"/>
      <c r="C124" s="22">
        <v>6330</v>
      </c>
      <c r="D124" s="23"/>
      <c r="E124" s="15" t="s">
        <v>27</v>
      </c>
      <c r="F124" s="17">
        <f>SUM(F125:F126)</f>
        <v>960</v>
      </c>
      <c r="G124" s="17">
        <f>SUM(G125:G126)</f>
        <v>912.792</v>
      </c>
    </row>
    <row r="125" spans="2:7" s="3" customFormat="1" ht="38.25">
      <c r="B125" s="4"/>
      <c r="C125" s="24">
        <v>6330</v>
      </c>
      <c r="D125" s="18">
        <v>3143</v>
      </c>
      <c r="E125" s="25" t="s">
        <v>50</v>
      </c>
      <c r="F125" s="20">
        <v>570</v>
      </c>
      <c r="G125" s="26">
        <f>171+359.268</f>
        <v>530.268</v>
      </c>
    </row>
    <row r="126" spans="2:7" s="3" customFormat="1" ht="63.75">
      <c r="B126" s="4"/>
      <c r="C126" s="24">
        <v>6330</v>
      </c>
      <c r="D126" s="18">
        <v>3143</v>
      </c>
      <c r="E126" s="25" t="s">
        <v>51</v>
      </c>
      <c r="F126" s="20">
        <v>390</v>
      </c>
      <c r="G126" s="26">
        <f>114.7572+267.7668</f>
        <v>382.524</v>
      </c>
    </row>
    <row r="127" spans="2:7" s="3" customFormat="1" ht="31.5">
      <c r="B127" s="4"/>
      <c r="C127" s="22">
        <v>6421</v>
      </c>
      <c r="D127" s="23"/>
      <c r="E127" s="15" t="s">
        <v>42</v>
      </c>
      <c r="F127" s="17">
        <f>SUM(F128:F132)</f>
        <v>4067.571</v>
      </c>
      <c r="G127" s="17">
        <f>SUM(G128:G132)</f>
        <v>2799.51304</v>
      </c>
    </row>
    <row r="128" spans="2:7" s="3" customFormat="1" ht="51">
      <c r="B128" s="4"/>
      <c r="C128" s="24">
        <v>6421</v>
      </c>
      <c r="D128" s="18">
        <v>3143</v>
      </c>
      <c r="E128" s="29" t="s">
        <v>77</v>
      </c>
      <c r="F128" s="30">
        <v>2466.571</v>
      </c>
      <c r="G128" s="26">
        <f>7.89724+599.985+301.30494+254.26168+32.81322+7.02+13.28982+628.27477-628.27477</f>
        <v>1216.5719</v>
      </c>
    </row>
    <row r="129" spans="2:7" s="3" customFormat="1" ht="63.75" customHeight="1">
      <c r="B129" s="4"/>
      <c r="C129" s="24">
        <v>6421</v>
      </c>
      <c r="D129" s="18">
        <v>3143</v>
      </c>
      <c r="E129" s="29" t="s">
        <v>78</v>
      </c>
      <c r="F129" s="30">
        <f>204+191.2+43</f>
        <v>438.2</v>
      </c>
      <c r="G129" s="26">
        <f>60.7347+141.7143+126.2283+109.51454</f>
        <v>438.19184</v>
      </c>
    </row>
    <row r="130" spans="2:7" s="3" customFormat="1" ht="51">
      <c r="B130" s="4"/>
      <c r="C130" s="24">
        <v>6421</v>
      </c>
      <c r="D130" s="18">
        <v>3143</v>
      </c>
      <c r="E130" s="29" t="s">
        <v>79</v>
      </c>
      <c r="F130" s="30">
        <v>417</v>
      </c>
      <c r="G130" s="26">
        <f>27.9153+65.1357+225.468+98.47121</f>
        <v>416.99021</v>
      </c>
    </row>
    <row r="131" spans="2:7" s="3" customFormat="1" ht="51">
      <c r="B131" s="4"/>
      <c r="C131" s="24">
        <v>6421</v>
      </c>
      <c r="D131" s="18">
        <v>3143</v>
      </c>
      <c r="E131" s="29" t="s">
        <v>80</v>
      </c>
      <c r="F131" s="30">
        <v>325.8</v>
      </c>
      <c r="G131" s="26">
        <f>97.7376+228.0544</f>
        <v>325.792</v>
      </c>
    </row>
    <row r="132" spans="2:7" s="3" customFormat="1" ht="45" customHeight="1">
      <c r="B132" s="4"/>
      <c r="C132" s="24">
        <v>6421</v>
      </c>
      <c r="D132" s="18">
        <v>3143</v>
      </c>
      <c r="E132" s="29" t="s">
        <v>81</v>
      </c>
      <c r="F132" s="30">
        <v>420</v>
      </c>
      <c r="G132" s="26">
        <f>116.2164+14.57909+271.1716</f>
        <v>401.96709</v>
      </c>
    </row>
    <row r="133" spans="2:7" s="3" customFormat="1" ht="30.75" customHeight="1">
      <c r="B133" s="4"/>
      <c r="C133" s="22">
        <v>6430</v>
      </c>
      <c r="D133" s="23"/>
      <c r="E133" s="15" t="s">
        <v>43</v>
      </c>
      <c r="F133" s="17">
        <f>SUM(F134:F141)</f>
        <v>1201.984</v>
      </c>
      <c r="G133" s="17">
        <f>SUM(G134:G141)</f>
        <v>211.58660000000003</v>
      </c>
    </row>
    <row r="134" spans="2:7" s="3" customFormat="1" ht="38.25">
      <c r="B134" s="4"/>
      <c r="C134" s="24">
        <v>6430</v>
      </c>
      <c r="D134" s="18">
        <v>2281</v>
      </c>
      <c r="E134" s="29" t="s">
        <v>109</v>
      </c>
      <c r="F134" s="30">
        <v>120</v>
      </c>
      <c r="G134" s="26">
        <v>120</v>
      </c>
    </row>
    <row r="135" spans="2:7" s="3" customFormat="1" ht="39.75" customHeight="1">
      <c r="B135" s="4"/>
      <c r="C135" s="24">
        <v>6430</v>
      </c>
      <c r="D135" s="18">
        <v>2281</v>
      </c>
      <c r="E135" s="29" t="s">
        <v>110</v>
      </c>
      <c r="F135" s="30">
        <v>80</v>
      </c>
      <c r="G135" s="26">
        <v>79.0656</v>
      </c>
    </row>
    <row r="136" spans="2:7" s="3" customFormat="1" ht="28.5" customHeight="1">
      <c r="B136" s="4"/>
      <c r="C136" s="24">
        <v>6430</v>
      </c>
      <c r="D136" s="18">
        <v>3121</v>
      </c>
      <c r="E136" s="29" t="s">
        <v>21</v>
      </c>
      <c r="F136" s="30">
        <v>12.521</v>
      </c>
      <c r="G136" s="26">
        <v>12.521</v>
      </c>
    </row>
    <row r="137" spans="2:7" s="3" customFormat="1" ht="38.25">
      <c r="B137" s="4"/>
      <c r="C137" s="24">
        <v>6430</v>
      </c>
      <c r="D137" s="18">
        <v>3122</v>
      </c>
      <c r="E137" s="29" t="s">
        <v>111</v>
      </c>
      <c r="F137" s="30">
        <f>854.876-598.413</f>
        <v>256.46299999999997</v>
      </c>
      <c r="G137" s="26"/>
    </row>
    <row r="138" spans="2:7" s="3" customFormat="1" ht="25.5">
      <c r="B138" s="4"/>
      <c r="C138" s="24">
        <v>6430</v>
      </c>
      <c r="D138" s="18">
        <v>3122</v>
      </c>
      <c r="E138" s="29" t="s">
        <v>112</v>
      </c>
      <c r="F138" s="30">
        <v>240</v>
      </c>
      <c r="G138" s="26"/>
    </row>
    <row r="139" spans="2:7" s="3" customFormat="1" ht="38.25" customHeight="1">
      <c r="B139" s="4"/>
      <c r="C139" s="24">
        <v>6430</v>
      </c>
      <c r="D139" s="18">
        <v>3122</v>
      </c>
      <c r="E139" s="29" t="s">
        <v>110</v>
      </c>
      <c r="F139" s="30">
        <v>118</v>
      </c>
      <c r="G139" s="26"/>
    </row>
    <row r="140" spans="2:7" s="3" customFormat="1" ht="25.5">
      <c r="B140" s="4"/>
      <c r="C140" s="24">
        <v>6430</v>
      </c>
      <c r="D140" s="18">
        <v>3122</v>
      </c>
      <c r="E140" s="29" t="s">
        <v>113</v>
      </c>
      <c r="F140" s="30">
        <v>180</v>
      </c>
      <c r="G140" s="26"/>
    </row>
    <row r="141" spans="2:7" s="3" customFormat="1" ht="39" customHeight="1">
      <c r="B141" s="4"/>
      <c r="C141" s="24">
        <v>6430</v>
      </c>
      <c r="D141" s="18">
        <v>3122</v>
      </c>
      <c r="E141" s="29" t="s">
        <v>114</v>
      </c>
      <c r="F141" s="30">
        <v>195</v>
      </c>
      <c r="G141" s="26"/>
    </row>
    <row r="142" spans="2:7" s="3" customFormat="1" ht="15.75">
      <c r="B142" s="4"/>
      <c r="C142" s="13">
        <v>7470</v>
      </c>
      <c r="D142" s="14"/>
      <c r="E142" s="16" t="s">
        <v>38</v>
      </c>
      <c r="F142" s="17">
        <f>SUM(F143:F150)</f>
        <v>20568.326</v>
      </c>
      <c r="G142" s="17">
        <f>SUM(G143:G150)</f>
        <v>20568.326</v>
      </c>
    </row>
    <row r="143" spans="2:7" s="3" customFormat="1" ht="25.5">
      <c r="B143" s="4"/>
      <c r="C143" s="13">
        <v>7470</v>
      </c>
      <c r="D143" s="18">
        <v>3210</v>
      </c>
      <c r="E143" s="19" t="s">
        <v>31</v>
      </c>
      <c r="F143" s="20">
        <v>5453.021</v>
      </c>
      <c r="G143" s="20">
        <v>5453.021</v>
      </c>
    </row>
    <row r="144" spans="2:7" s="3" customFormat="1" ht="28.5" customHeight="1">
      <c r="B144" s="4"/>
      <c r="C144" s="13">
        <v>7470</v>
      </c>
      <c r="D144" s="18">
        <v>3210</v>
      </c>
      <c r="E144" s="19" t="s">
        <v>32</v>
      </c>
      <c r="F144" s="20">
        <v>280</v>
      </c>
      <c r="G144" s="20">
        <v>280</v>
      </c>
    </row>
    <row r="145" spans="2:7" s="3" customFormat="1" ht="25.5">
      <c r="B145" s="4"/>
      <c r="C145" s="13">
        <v>7470</v>
      </c>
      <c r="D145" s="18">
        <v>3210</v>
      </c>
      <c r="E145" s="19" t="s">
        <v>7</v>
      </c>
      <c r="F145" s="20">
        <v>312.145</v>
      </c>
      <c r="G145" s="20">
        <v>312.145</v>
      </c>
    </row>
    <row r="146" spans="2:7" s="3" customFormat="1" ht="27" customHeight="1">
      <c r="B146" s="4"/>
      <c r="C146" s="13">
        <v>7470</v>
      </c>
      <c r="D146" s="18">
        <v>3210</v>
      </c>
      <c r="E146" s="19" t="s">
        <v>33</v>
      </c>
      <c r="F146" s="20">
        <v>1000</v>
      </c>
      <c r="G146" s="20">
        <v>1000</v>
      </c>
    </row>
    <row r="147" spans="2:7" s="3" customFormat="1" ht="27" customHeight="1">
      <c r="B147" s="4"/>
      <c r="C147" s="13">
        <v>7470</v>
      </c>
      <c r="D147" s="18">
        <v>3210</v>
      </c>
      <c r="E147" s="19" t="s">
        <v>34</v>
      </c>
      <c r="F147" s="21">
        <v>5823.16</v>
      </c>
      <c r="G147" s="21">
        <v>5823.16</v>
      </c>
    </row>
    <row r="148" spans="2:7" s="3" customFormat="1" ht="25.5">
      <c r="B148" s="4"/>
      <c r="C148" s="13">
        <v>7470</v>
      </c>
      <c r="D148" s="18">
        <v>3210</v>
      </c>
      <c r="E148" s="19" t="s">
        <v>35</v>
      </c>
      <c r="F148" s="21">
        <v>2500</v>
      </c>
      <c r="G148" s="21">
        <v>2500</v>
      </c>
    </row>
    <row r="149" spans="2:7" s="3" customFormat="1" ht="25.5">
      <c r="B149" s="4"/>
      <c r="C149" s="13">
        <v>7470</v>
      </c>
      <c r="D149" s="18">
        <v>3210</v>
      </c>
      <c r="E149" s="19" t="s">
        <v>36</v>
      </c>
      <c r="F149" s="21">
        <v>3000</v>
      </c>
      <c r="G149" s="21">
        <v>3000</v>
      </c>
    </row>
    <row r="150" spans="2:7" s="3" customFormat="1" ht="28.5" customHeight="1">
      <c r="B150" s="4"/>
      <c r="C150" s="13">
        <v>7470</v>
      </c>
      <c r="D150" s="18">
        <v>3210</v>
      </c>
      <c r="E150" s="19" t="s">
        <v>37</v>
      </c>
      <c r="F150" s="21">
        <v>2200</v>
      </c>
      <c r="G150" s="21">
        <v>2200</v>
      </c>
    </row>
    <row r="151" spans="2:5" s="3" customFormat="1" ht="8.25" customHeight="1">
      <c r="B151" s="4"/>
      <c r="C151" s="5"/>
      <c r="D151" s="6"/>
      <c r="E151" s="6"/>
    </row>
    <row r="152" spans="1:7" s="3" customFormat="1" ht="16.5" customHeight="1">
      <c r="A152" s="7"/>
      <c r="B152" s="7"/>
      <c r="C152" s="8"/>
      <c r="D152" s="8"/>
      <c r="E152" s="8"/>
      <c r="F152" s="8"/>
      <c r="G152" s="8"/>
    </row>
    <row r="153" spans="2:7" s="3" customFormat="1" ht="18" customHeight="1">
      <c r="B153" s="4"/>
      <c r="C153" s="8"/>
      <c r="D153" s="8"/>
      <c r="E153" s="8"/>
      <c r="F153" s="8"/>
      <c r="G153" s="12"/>
    </row>
    <row r="154" spans="2:7" s="3" customFormat="1" ht="0.75" customHeight="1">
      <c r="B154" s="4"/>
      <c r="D154" s="4"/>
      <c r="E154" s="5"/>
      <c r="F154" s="6"/>
      <c r="G154" s="6"/>
    </row>
    <row r="155" spans="1:7" s="3" customFormat="1" ht="18" customHeight="1">
      <c r="A155" s="4"/>
      <c r="B155" s="4"/>
      <c r="C155" s="9"/>
      <c r="D155" s="9"/>
      <c r="E155" s="5"/>
      <c r="F155" s="6"/>
      <c r="G155" s="6"/>
    </row>
    <row r="156" spans="2:5" s="3" customFormat="1" ht="15.75">
      <c r="B156" s="4"/>
      <c r="C156" s="5"/>
      <c r="D156" s="6"/>
      <c r="E156" s="6"/>
    </row>
    <row r="157" spans="1:7" s="10" customFormat="1" ht="18.75" customHeight="1">
      <c r="A157" s="48"/>
      <c r="B157" s="48"/>
      <c r="C157" s="48"/>
      <c r="D157" s="48"/>
      <c r="E157" s="48"/>
      <c r="F157" s="48"/>
      <c r="G157" s="48"/>
    </row>
  </sheetData>
  <sheetProtection formatCells="0" formatColumns="0" formatRows="0" insertColumns="0" insertRows="0" deleteColumns="0" deleteRows="0"/>
  <mergeCells count="12">
    <mergeCell ref="F6:F7"/>
    <mergeCell ref="G6:G7"/>
    <mergeCell ref="A4:G4"/>
    <mergeCell ref="E6:E7"/>
    <mergeCell ref="A157:G157"/>
    <mergeCell ref="A1:G1"/>
    <mergeCell ref="A2:G2"/>
    <mergeCell ref="A3:G3"/>
    <mergeCell ref="A6:A7"/>
    <mergeCell ref="B6:B7"/>
    <mergeCell ref="C6:C7"/>
    <mergeCell ref="D6:D7"/>
  </mergeCells>
  <printOptions/>
  <pageMargins left="0.3937007874015748" right="0.1968503937007874" top="0.1968503937007874" bottom="0.1968503937007874" header="0.1968503937007874" footer="0.1968503937007874"/>
  <pageSetup fitToHeight="8" fitToWidth="1" horizontalDpi="600" verticalDpi="600" orientation="portrait" paperSize="9" scale="94"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User415b</cp:lastModifiedBy>
  <cp:lastPrinted>2018-02-09T09:17:56Z</cp:lastPrinted>
  <dcterms:created xsi:type="dcterms:W3CDTF">2001-03-20T06:14:51Z</dcterms:created>
  <dcterms:modified xsi:type="dcterms:W3CDTF">2018-02-09T09:25:26Z</dcterms:modified>
  <cp:category/>
  <cp:version/>
  <cp:contentType/>
  <cp:contentStatus/>
</cp:coreProperties>
</file>