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<sst xmlns="http://schemas.openxmlformats.org/spreadsheetml/2006/main" count="184" uniqueCount="75">
  <si>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</si>
  <si>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</si>
  <si>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</si>
  <si>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</si>
  <si>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</si>
  <si>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</si>
  <si>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</si>
  <si>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</si>
  <si>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</si>
  <si>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</si>
  <si>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</si>
  <si>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</si>
  <si>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</si>
  <si>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</si>
  <si>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</si>
  <si>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</si>
  <si>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</si>
  <si>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</si>
  <si>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</si>
  <si>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</si>
  <si>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</si>
  <si>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</si>
  <si>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</si>
  <si>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</si>
  <si>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</si>
  <si>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</si>
  <si>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</si>
  <si>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</si>
  <si>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</si>
  <si>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</si>
  <si>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</si>
  <si>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</si>
  <si>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</si>
  <si>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</si>
  <si>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</si>
  <si>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</si>
  <si>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</si>
  <si>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</si>
  <si>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</si>
  <si>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</si>
  <si>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</si>
  <si>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</si>
  <si>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</si>
  <si>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</si>
  <si>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</si>
  <si>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</si>
  <si>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</si>
  <si>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</si>
  <si>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</si>
  <si>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</si>
  <si>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</si>
  <si>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</si>
  <si>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</si>
  <si>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</si>
  <si>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</si>
  <si>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</si>
  <si>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</si>
  <si>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</si>
  <si>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</si>
  <si>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</si>
  <si>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</si>
  <si>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</si>
  <si>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</si>
  <si>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</si>
  <si>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</si>
  <si>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</si>
  <si>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</si>
  <si>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</si>
  <si>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</si>
  <si>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</si>
  <si>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</si>
  <si>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20 мая </t>
    </r>
    <r>
      <rPr>
        <sz val="11"/>
        <rFont val="Times New Roman"/>
        <family val="1"/>
      </rPr>
      <t>тыс. грн.</t>
    </r>
  </si>
  <si>
    <t xml:space="preserve">План на январь-май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</si>
  <si>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3 червня </t>
    </r>
    <r>
      <rPr>
        <sz val="11"/>
        <rFont val="Times New Roman"/>
        <family val="1"/>
      </rPr>
      <t xml:space="preserve">тис. грн.  </t>
    </r>
  </si>
  <si>
    <t>План на січень-червень, з урахуванням змін тис. грн.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</si>
</sst>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82" sqref="B82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69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74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723424.233</v>
      </c>
      <c r="C5" s="18">
        <f>C6+C13</f>
        <v>403779.042</v>
      </c>
      <c r="D5" s="18">
        <f>D6+D13</f>
        <v>284452.701</v>
      </c>
      <c r="E5" s="19">
        <f aca="true" t="shared" si="0" ref="E5:E36">SUM(D5)/B5*100</f>
        <v>39.32031690732705</v>
      </c>
      <c r="F5" s="19">
        <f>SUM(D5)/C5*100</f>
        <v>70.44761401955083</v>
      </c>
    </row>
    <row r="6" spans="1:6" s="14" customFormat="1" ht="16.5" customHeight="1">
      <c r="A6" s="30" t="s">
        <v>32</v>
      </c>
      <c r="B6" s="25">
        <v>687011.794</v>
      </c>
      <c r="C6" s="25">
        <v>390767.914</v>
      </c>
      <c r="D6" s="25">
        <f>277697.332+1282.772</f>
        <v>278980.104</v>
      </c>
      <c r="E6" s="20">
        <f t="shared" si="0"/>
        <v>40.60776051247819</v>
      </c>
      <c r="F6" s="20">
        <f>SUM(D6)/C6*100</f>
        <v>71.39278687041843</v>
      </c>
    </row>
    <row r="7" spans="1:6" s="3" customFormat="1" ht="14.25" customHeight="1">
      <c r="A7" s="12" t="s">
        <v>1</v>
      </c>
      <c r="B7" s="11">
        <v>401715.273</v>
      </c>
      <c r="C7" s="11">
        <v>236982.495</v>
      </c>
      <c r="D7" s="11">
        <f>164131.356+667.839</f>
        <v>164799.195</v>
      </c>
      <c r="E7" s="20">
        <f t="shared" si="0"/>
        <v>41.02388086200547</v>
      </c>
      <c r="F7" s="20">
        <f aca="true" t="shared" si="1" ref="F7:F73">SUM(D7)/C7*100</f>
        <v>69.54066164254031</v>
      </c>
    </row>
    <row r="8" spans="1:6" s="3" customFormat="1" ht="15">
      <c r="A8" s="12" t="s">
        <v>27</v>
      </c>
      <c r="B8" s="11">
        <v>88410.024</v>
      </c>
      <c r="C8" s="11">
        <v>52431.073</v>
      </c>
      <c r="D8" s="11">
        <f>36530.533+143.295</f>
        <v>36673.828</v>
      </c>
      <c r="E8" s="20">
        <f t="shared" si="0"/>
        <v>41.48152702684483</v>
      </c>
      <c r="F8" s="20">
        <f t="shared" si="1"/>
        <v>69.9467432222873</v>
      </c>
    </row>
    <row r="9" spans="1:6" s="3" customFormat="1" ht="15">
      <c r="A9" s="12" t="s">
        <v>4</v>
      </c>
      <c r="B9" s="11">
        <v>153.271</v>
      </c>
      <c r="C9" s="11">
        <v>19.152</v>
      </c>
      <c r="D9" s="11">
        <v>11.093</v>
      </c>
      <c r="E9" s="20">
        <f t="shared" si="0"/>
        <v>7.237507421495261</v>
      </c>
      <c r="F9" s="20"/>
    </row>
    <row r="10" spans="1:6" s="3" customFormat="1" ht="15">
      <c r="A10" s="12" t="s">
        <v>5</v>
      </c>
      <c r="B10" s="11">
        <v>47933.507</v>
      </c>
      <c r="C10" s="11">
        <v>22205.705</v>
      </c>
      <c r="D10" s="11">
        <f>17999.068+8.359</f>
        <v>18007.427</v>
      </c>
      <c r="E10" s="20">
        <f t="shared" si="0"/>
        <v>37.56751409822778</v>
      </c>
      <c r="F10" s="20">
        <f t="shared" si="1"/>
        <v>81.09369641720448</v>
      </c>
    </row>
    <row r="11" spans="1:6" s="3" customFormat="1" ht="15">
      <c r="A11" s="12" t="s">
        <v>29</v>
      </c>
      <c r="B11" s="11">
        <v>92734.871</v>
      </c>
      <c r="C11" s="11">
        <v>47490.21</v>
      </c>
      <c r="D11" s="11">
        <f>42981.698+11.828</f>
        <v>42993.526</v>
      </c>
      <c r="E11" s="20">
        <f t="shared" si="0"/>
        <v>46.36176827161381</v>
      </c>
      <c r="F11" s="20">
        <f t="shared" si="1"/>
        <v>90.53134530253709</v>
      </c>
    </row>
    <row r="12" spans="1:6" s="3" customFormat="1" ht="15">
      <c r="A12" s="12" t="s">
        <v>13</v>
      </c>
      <c r="B12" s="11">
        <f>SUM(B6)-B7-B8-B9-B10-B11</f>
        <v>56064.84799999998</v>
      </c>
      <c r="C12" s="11">
        <f>SUM(C6)-C7-C8-C9-C10-C11</f>
        <v>31639.278999999988</v>
      </c>
      <c r="D12" s="11">
        <f>SUM(D6)-D7-D8-D9-D10-D11</f>
        <v>16495.03499999999</v>
      </c>
      <c r="E12" s="20">
        <f t="shared" si="0"/>
        <v>29.421349719881505</v>
      </c>
      <c r="F12" s="20">
        <f t="shared" si="1"/>
        <v>52.13467411820603</v>
      </c>
    </row>
    <row r="13" spans="1:6" s="3" customFormat="1" ht="15">
      <c r="A13" s="30" t="s">
        <v>14</v>
      </c>
      <c r="B13" s="25">
        <v>36412.439</v>
      </c>
      <c r="C13" s="25">
        <v>13011.128</v>
      </c>
      <c r="D13" s="25">
        <v>5472.597</v>
      </c>
      <c r="E13" s="20">
        <f t="shared" si="0"/>
        <v>15.029471110133546</v>
      </c>
      <c r="F13" s="20">
        <f t="shared" si="1"/>
        <v>42.060895873132594</v>
      </c>
    </row>
    <row r="14" spans="1:6" s="2" customFormat="1" ht="14.25">
      <c r="A14" s="17" t="s">
        <v>6</v>
      </c>
      <c r="B14" s="18">
        <f>B15+B22</f>
        <v>389669.912</v>
      </c>
      <c r="C14" s="18">
        <f>C15+C22</f>
        <v>191397.19000000003</v>
      </c>
      <c r="D14" s="18">
        <f>D15+D22</f>
        <v>142951.787</v>
      </c>
      <c r="E14" s="19">
        <f t="shared" si="0"/>
        <v>36.68535409015619</v>
      </c>
      <c r="F14" s="19">
        <f t="shared" si="1"/>
        <v>74.68855054768568</v>
      </c>
    </row>
    <row r="15" spans="1:6" s="14" customFormat="1" ht="15">
      <c r="A15" s="30" t="s">
        <v>31</v>
      </c>
      <c r="B15" s="25">
        <f>349501.912+25271</f>
        <v>374772.912</v>
      </c>
      <c r="C15" s="25">
        <f>173741.684+12615.2</f>
        <v>186356.88400000002</v>
      </c>
      <c r="D15" s="25">
        <f>130737.289+920.666+10505.9</f>
        <v>142163.855</v>
      </c>
      <c r="E15" s="20">
        <f t="shared" si="0"/>
        <v>37.93333254565635</v>
      </c>
      <c r="F15" s="20">
        <f>SUM(D15)/C15*100</f>
        <v>76.28580814862734</v>
      </c>
    </row>
    <row r="16" spans="1:6" s="3" customFormat="1" ht="15">
      <c r="A16" s="12" t="s">
        <v>1</v>
      </c>
      <c r="B16" s="11">
        <v>221602.052</v>
      </c>
      <c r="C16" s="11">
        <v>106554.137</v>
      </c>
      <c r="D16" s="11">
        <f>83369.85+110.51</f>
        <v>83480.36</v>
      </c>
      <c r="E16" s="20">
        <f t="shared" si="0"/>
        <v>37.67129376581766</v>
      </c>
      <c r="F16" s="20">
        <f t="shared" si="1"/>
        <v>78.34548929808328</v>
      </c>
    </row>
    <row r="17" spans="1:6" s="3" customFormat="1" ht="15">
      <c r="A17" s="12" t="s">
        <v>27</v>
      </c>
      <c r="B17" s="11">
        <v>48697.18</v>
      </c>
      <c r="C17" s="11">
        <v>23396.168</v>
      </c>
      <c r="D17" s="11">
        <f>18145.184+24.319</f>
        <v>18169.503</v>
      </c>
      <c r="E17" s="20">
        <f t="shared" si="0"/>
        <v>37.31120159319287</v>
      </c>
      <c r="F17" s="20">
        <f t="shared" si="1"/>
        <v>77.66016639989934</v>
      </c>
    </row>
    <row r="18" spans="1:6" s="3" customFormat="1" ht="15">
      <c r="A18" s="12" t="s">
        <v>4</v>
      </c>
      <c r="B18" s="11">
        <v>16661.29</v>
      </c>
      <c r="C18" s="11">
        <v>9051.229</v>
      </c>
      <c r="D18" s="11">
        <f>5830.783+52.474</f>
        <v>5883.2570000000005</v>
      </c>
      <c r="E18" s="20">
        <f t="shared" si="0"/>
        <v>35.310933307084866</v>
      </c>
      <c r="F18" s="20">
        <f t="shared" si="1"/>
        <v>64.99953763185088</v>
      </c>
    </row>
    <row r="19" spans="1:6" s="3" customFormat="1" ht="15">
      <c r="A19" s="12" t="s">
        <v>5</v>
      </c>
      <c r="B19" s="11">
        <v>6745.744</v>
      </c>
      <c r="C19" s="11">
        <v>4024.459</v>
      </c>
      <c r="D19" s="11">
        <f>2292.162+13.748</f>
        <v>2305.91</v>
      </c>
      <c r="E19" s="20">
        <f t="shared" si="0"/>
        <v>34.18318275938132</v>
      </c>
      <c r="F19" s="20">
        <f t="shared" si="1"/>
        <v>57.29739077972965</v>
      </c>
    </row>
    <row r="20" spans="1:6" s="3" customFormat="1" ht="15">
      <c r="A20" s="12" t="s">
        <v>29</v>
      </c>
      <c r="B20" s="11">
        <v>36131.055</v>
      </c>
      <c r="C20" s="11">
        <v>19914.33</v>
      </c>
      <c r="D20" s="11">
        <f>15134.224+213.348</f>
        <v>15347.572</v>
      </c>
      <c r="E20" s="20">
        <f t="shared" si="0"/>
        <v>42.4775086141271</v>
      </c>
      <c r="F20" s="20">
        <f t="shared" si="1"/>
        <v>77.06798069530835</v>
      </c>
    </row>
    <row r="21" spans="1:6" s="3" customFormat="1" ht="15">
      <c r="A21" s="51" t="s">
        <v>13</v>
      </c>
      <c r="B21" s="11">
        <f>SUM(B15)-B16-B17-B18-B19-B20</f>
        <v>44935.59100000001</v>
      </c>
      <c r="C21" s="11">
        <f>SUM(C15)-C16-C17-C18-C19-C20</f>
        <v>23416.56100000001</v>
      </c>
      <c r="D21" s="11">
        <f>SUM(D15)-D16-D17-D18-D19-D20</f>
        <v>16977.253000000015</v>
      </c>
      <c r="E21" s="20">
        <f t="shared" si="0"/>
        <v>37.78130569151747</v>
      </c>
      <c r="F21" s="20">
        <f t="shared" si="1"/>
        <v>72.5010517129309</v>
      </c>
    </row>
    <row r="22" spans="1:6" s="3" customFormat="1" ht="15">
      <c r="A22" s="52" t="s">
        <v>14</v>
      </c>
      <c r="B22" s="25">
        <v>14897</v>
      </c>
      <c r="C22" s="25">
        <v>5040.306</v>
      </c>
      <c r="D22" s="25">
        <f>554.304+233.628</f>
        <v>787.932</v>
      </c>
      <c r="E22" s="20">
        <f t="shared" si="0"/>
        <v>5.2891991676176415</v>
      </c>
      <c r="F22" s="20">
        <f t="shared" si="1"/>
        <v>15.632622305074337</v>
      </c>
    </row>
    <row r="23" spans="1:6" s="2" customFormat="1" ht="28.5">
      <c r="A23" s="17" t="s">
        <v>26</v>
      </c>
      <c r="B23" s="18">
        <f>B24+B34</f>
        <v>686890.8130000001</v>
      </c>
      <c r="C23" s="18">
        <f>C24+C34</f>
        <v>389212.253</v>
      </c>
      <c r="D23" s="18">
        <f>D24+D34</f>
        <v>322842.318</v>
      </c>
      <c r="E23" s="19">
        <f t="shared" si="0"/>
        <v>47.000529325757626</v>
      </c>
      <c r="F23" s="19">
        <f t="shared" si="1"/>
        <v>82.94762446751645</v>
      </c>
    </row>
    <row r="24" spans="1:6" s="14" customFormat="1" ht="15">
      <c r="A24" s="30" t="s">
        <v>31</v>
      </c>
      <c r="B24" s="25">
        <v>682948.077</v>
      </c>
      <c r="C24" s="25">
        <v>386870.782</v>
      </c>
      <c r="D24" s="25">
        <v>322842.318</v>
      </c>
      <c r="E24" s="20">
        <f t="shared" si="0"/>
        <v>47.27186866359681</v>
      </c>
      <c r="F24" s="20">
        <f>SUM(D24)/C24*100</f>
        <v>83.4496511550981</v>
      </c>
    </row>
    <row r="25" spans="1:6" s="3" customFormat="1" ht="15">
      <c r="A25" s="12" t="s">
        <v>1</v>
      </c>
      <c r="B25" s="11">
        <f>14660.587+636.762</f>
        <v>15297.349</v>
      </c>
      <c r="C25" s="11">
        <v>7452.004</v>
      </c>
      <c r="D25" s="11">
        <v>5847.892</v>
      </c>
      <c r="E25" s="20">
        <f t="shared" si="0"/>
        <v>38.22814005224042</v>
      </c>
      <c r="F25" s="20">
        <f t="shared" si="1"/>
        <v>78.47408562851012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v>1627.541</v>
      </c>
      <c r="D26" s="11">
        <v>1275.07</v>
      </c>
      <c r="E26" s="20">
        <f t="shared" si="0"/>
        <v>37.992519906987496</v>
      </c>
      <c r="F26" s="20">
        <f t="shared" si="1"/>
        <v>78.3433412737375</v>
      </c>
    </row>
    <row r="27" spans="1:6" s="3" customFormat="1" ht="15">
      <c r="A27" s="12" t="s">
        <v>4</v>
      </c>
      <c r="B27" s="11">
        <v>72.57</v>
      </c>
      <c r="C27" s="11">
        <v>39.6</v>
      </c>
      <c r="D27" s="11">
        <v>37.699</v>
      </c>
      <c r="E27" s="20">
        <f t="shared" si="0"/>
        <v>51.94846355243213</v>
      </c>
      <c r="F27" s="20">
        <f t="shared" si="1"/>
        <v>95.19949494949495</v>
      </c>
    </row>
    <row r="28" spans="1:6" s="3" customFormat="1" ht="15">
      <c r="A28" s="12" t="s">
        <v>5</v>
      </c>
      <c r="B28" s="11">
        <v>259.017</v>
      </c>
      <c r="C28" s="11">
        <v>121.405</v>
      </c>
      <c r="D28" s="11">
        <v>105.428</v>
      </c>
      <c r="E28" s="20">
        <f t="shared" si="0"/>
        <v>40.70311987244081</v>
      </c>
      <c r="F28" s="20">
        <f t="shared" si="1"/>
        <v>86.83991598369096</v>
      </c>
    </row>
    <row r="29" spans="1:6" s="3" customFormat="1" ht="15">
      <c r="A29" s="12" t="s">
        <v>29</v>
      </c>
      <c r="B29" s="11">
        <v>1309.543</v>
      </c>
      <c r="C29" s="11">
        <v>767.483</v>
      </c>
      <c r="D29" s="11">
        <v>572.677</v>
      </c>
      <c r="E29" s="20">
        <f t="shared" si="0"/>
        <v>43.73105732305087</v>
      </c>
      <c r="F29" s="20">
        <f t="shared" si="1"/>
        <v>74.61754853201961</v>
      </c>
    </row>
    <row r="30" spans="1:6" s="3" customFormat="1" ht="15">
      <c r="A30" s="12" t="s">
        <v>13</v>
      </c>
      <c r="B30" s="11">
        <f>SUM(B24)-B25-B26-B27-B28-B29</f>
        <v>662653.4900000001</v>
      </c>
      <c r="C30" s="11">
        <f>SUM(C24)-C25-C26-C27-C28-C29</f>
        <v>376862.74899999995</v>
      </c>
      <c r="D30" s="11">
        <f>SUM(D24)-D25-D26-D27-D28-D29</f>
        <v>315003.55199999997</v>
      </c>
      <c r="E30" s="20">
        <f t="shared" si="0"/>
        <v>47.53669251783461</v>
      </c>
      <c r="F30" s="20">
        <f t="shared" si="1"/>
        <v>83.58574914497585</v>
      </c>
    </row>
    <row r="31" spans="1:6" s="3" customFormat="1" ht="15">
      <c r="A31" s="12" t="s">
        <v>18</v>
      </c>
      <c r="B31" s="11">
        <f>SUM(B32:B33)</f>
        <v>639599.8</v>
      </c>
      <c r="C31" s="11">
        <f>SUM(C32:C33)</f>
        <v>365438.72699999996</v>
      </c>
      <c r="D31" s="11">
        <f>SUM(D32:D33)</f>
        <v>308210.379</v>
      </c>
      <c r="E31" s="20">
        <f t="shared" si="0"/>
        <v>48.18800428017644</v>
      </c>
      <c r="F31" s="20">
        <f>SUM(D31)/C31*100</f>
        <v>84.33982395084253</v>
      </c>
    </row>
    <row r="32" spans="1:6" s="3" customFormat="1" ht="30">
      <c r="A32" s="13" t="s">
        <v>22</v>
      </c>
      <c r="B32" s="11">
        <v>424514.7</v>
      </c>
      <c r="C32" s="11">
        <v>218437.968</v>
      </c>
      <c r="D32" s="67">
        <v>182568.737</v>
      </c>
      <c r="E32" s="20">
        <f t="shared" si="0"/>
        <v>43.00645819803177</v>
      </c>
      <c r="F32" s="20">
        <f>SUM(D32)/C32*100</f>
        <v>83.57921412270233</v>
      </c>
    </row>
    <row r="33" spans="1:6" s="3" customFormat="1" ht="15">
      <c r="A33" s="13" t="s">
        <v>19</v>
      </c>
      <c r="B33" s="11">
        <v>215085.1</v>
      </c>
      <c r="C33" s="11">
        <v>147000.759</v>
      </c>
      <c r="D33" s="11">
        <v>125641.642</v>
      </c>
      <c r="E33" s="20">
        <f t="shared" si="0"/>
        <v>58.41485160989767</v>
      </c>
      <c r="F33" s="20">
        <f>SUM(D33)/C33*100</f>
        <v>85.47006345729142</v>
      </c>
    </row>
    <row r="34" spans="1:6" s="3" customFormat="1" ht="15">
      <c r="A34" s="30" t="s">
        <v>14</v>
      </c>
      <c r="B34" s="25">
        <v>3942.736</v>
      </c>
      <c r="C34" s="25">
        <v>2341.471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2" customFormat="1" ht="14.25">
      <c r="A35" s="17" t="s">
        <v>7</v>
      </c>
      <c r="B35" s="18">
        <f>B36+B41</f>
        <v>96875.568</v>
      </c>
      <c r="C35" s="18">
        <f>C36+C41</f>
        <v>53895.283</v>
      </c>
      <c r="D35" s="18">
        <f>D36+D41</f>
        <v>35041.40900000001</v>
      </c>
      <c r="E35" s="19">
        <f t="shared" si="0"/>
        <v>36.171564950204996</v>
      </c>
      <c r="F35" s="19">
        <f>SUM(D35)/C35*100</f>
        <v>65.0175804810228</v>
      </c>
    </row>
    <row r="36" spans="1:6" s="14" customFormat="1" ht="15">
      <c r="A36" s="30" t="s">
        <v>31</v>
      </c>
      <c r="B36" s="25">
        <v>87293.4</v>
      </c>
      <c r="C36" s="25">
        <v>47446.379</v>
      </c>
      <c r="D36" s="25">
        <f>32682.916+470.244</f>
        <v>33153.16</v>
      </c>
      <c r="E36" s="20">
        <f t="shared" si="0"/>
        <v>37.97899955781308</v>
      </c>
      <c r="F36" s="20">
        <f t="shared" si="1"/>
        <v>69.87500563530887</v>
      </c>
    </row>
    <row r="37" spans="1:6" s="3" customFormat="1" ht="15">
      <c r="A37" s="12" t="s">
        <v>1</v>
      </c>
      <c r="B37" s="11">
        <v>40460.715</v>
      </c>
      <c r="C37" s="11">
        <v>21766.973</v>
      </c>
      <c r="D37" s="11">
        <v>15359.586</v>
      </c>
      <c r="E37" s="20">
        <f aca="true" t="shared" si="2" ref="E37:E68">SUM(D37)/B37*100</f>
        <v>37.961726578484836</v>
      </c>
      <c r="F37" s="20">
        <f>SUM(D37)/C37*100</f>
        <v>70.5637205503953</v>
      </c>
    </row>
    <row r="38" spans="1:6" s="3" customFormat="1" ht="15">
      <c r="A38" s="12" t="s">
        <v>27</v>
      </c>
      <c r="B38" s="11">
        <v>8901.357</v>
      </c>
      <c r="C38" s="11">
        <v>4824.604</v>
      </c>
      <c r="D38" s="11">
        <v>3406.088</v>
      </c>
      <c r="E38" s="20">
        <f t="shared" si="2"/>
        <v>38.2648173755979</v>
      </c>
      <c r="F38" s="20">
        <f t="shared" si="1"/>
        <v>70.59829159035644</v>
      </c>
    </row>
    <row r="39" spans="1:6" s="3" customFormat="1" ht="15">
      <c r="A39" s="12" t="s">
        <v>29</v>
      </c>
      <c r="B39" s="11">
        <v>6464.382</v>
      </c>
      <c r="C39" s="11">
        <v>3520.122</v>
      </c>
      <c r="D39" s="11">
        <f>2931.309+2.029</f>
        <v>2933.338</v>
      </c>
      <c r="E39" s="20">
        <f t="shared" si="2"/>
        <v>45.37692852928556</v>
      </c>
      <c r="F39" s="20">
        <f t="shared" si="1"/>
        <v>83.33057774702127</v>
      </c>
    </row>
    <row r="40" spans="1:6" s="3" customFormat="1" ht="15">
      <c r="A40" s="12" t="s">
        <v>13</v>
      </c>
      <c r="B40" s="11">
        <f>SUM(B36)-B37-B38-B39</f>
        <v>31466.945999999996</v>
      </c>
      <c r="C40" s="11">
        <f>SUM(C36)-C37-C38-C39</f>
        <v>17334.68</v>
      </c>
      <c r="D40" s="11">
        <f>SUM(D36)-D37-D38-D39</f>
        <v>11454.148000000005</v>
      </c>
      <c r="E40" s="20">
        <f t="shared" si="2"/>
        <v>36.40057093560972</v>
      </c>
      <c r="F40" s="20">
        <f t="shared" si="1"/>
        <v>66.07648944197415</v>
      </c>
    </row>
    <row r="41" spans="1:6" s="3" customFormat="1" ht="15">
      <c r="A41" s="30" t="s">
        <v>14</v>
      </c>
      <c r="B41" s="25">
        <v>9582.168</v>
      </c>
      <c r="C41" s="25">
        <v>6448.904</v>
      </c>
      <c r="D41" s="25">
        <f>1863.349+24.9</f>
        <v>1888.249</v>
      </c>
      <c r="E41" s="20">
        <f t="shared" si="2"/>
        <v>19.70586405915655</v>
      </c>
      <c r="F41" s="20">
        <f t="shared" si="1"/>
        <v>29.28015365091494</v>
      </c>
    </row>
    <row r="42" spans="1:6" s="2" customFormat="1" ht="14.25">
      <c r="A42" s="17" t="s">
        <v>8</v>
      </c>
      <c r="B42" s="18">
        <f>B43+B48</f>
        <v>54781.755</v>
      </c>
      <c r="C42" s="18">
        <f>C43+C48</f>
        <v>29579.85</v>
      </c>
      <c r="D42" s="18">
        <f>D43+D48</f>
        <v>19134.038999999997</v>
      </c>
      <c r="E42" s="19">
        <f t="shared" si="2"/>
        <v>34.92775833851982</v>
      </c>
      <c r="F42" s="19">
        <f t="shared" si="1"/>
        <v>64.68605824573146</v>
      </c>
    </row>
    <row r="43" spans="1:6" s="14" customFormat="1" ht="15">
      <c r="A43" s="30" t="s">
        <v>31</v>
      </c>
      <c r="B43" s="25">
        <v>51203.062</v>
      </c>
      <c r="C43" s="25">
        <v>26001.157</v>
      </c>
      <c r="D43" s="25">
        <f>18708.009+75.475</f>
        <v>18783.483999999997</v>
      </c>
      <c r="E43" s="20">
        <f t="shared" si="2"/>
        <v>36.68429829450434</v>
      </c>
      <c r="F43" s="20">
        <f t="shared" si="1"/>
        <v>72.2409545082936</v>
      </c>
    </row>
    <row r="44" spans="1:6" s="3" customFormat="1" ht="15">
      <c r="A44" s="12" t="s">
        <v>1</v>
      </c>
      <c r="B44" s="11">
        <v>24685.189</v>
      </c>
      <c r="C44" s="11">
        <v>11850.757</v>
      </c>
      <c r="D44" s="11">
        <v>9160.707</v>
      </c>
      <c r="E44" s="20">
        <f t="shared" si="2"/>
        <v>37.11013515027169</v>
      </c>
      <c r="F44" s="20">
        <f>SUM(D44)/C44*100</f>
        <v>77.30060619756189</v>
      </c>
    </row>
    <row r="45" spans="1:6" s="3" customFormat="1" ht="15">
      <c r="A45" s="12" t="s">
        <v>27</v>
      </c>
      <c r="B45" s="11">
        <v>5430.741</v>
      </c>
      <c r="C45" s="11">
        <v>2607.511</v>
      </c>
      <c r="D45" s="11">
        <v>2015.019</v>
      </c>
      <c r="E45" s="20">
        <f t="shared" si="2"/>
        <v>37.10394216921779</v>
      </c>
      <c r="F45" s="20">
        <f t="shared" si="1"/>
        <v>77.27748799525678</v>
      </c>
    </row>
    <row r="46" spans="1:6" s="3" customFormat="1" ht="15">
      <c r="A46" s="12" t="s">
        <v>29</v>
      </c>
      <c r="B46" s="11">
        <v>4194.121</v>
      </c>
      <c r="C46" s="11">
        <v>1949.844</v>
      </c>
      <c r="D46" s="11">
        <v>1673.314</v>
      </c>
      <c r="E46" s="20">
        <f t="shared" si="2"/>
        <v>39.89665534208479</v>
      </c>
      <c r="F46" s="20">
        <f t="shared" si="1"/>
        <v>85.81783978615725</v>
      </c>
    </row>
    <row r="47" spans="1:6" s="3" customFormat="1" ht="15">
      <c r="A47" s="12" t="s">
        <v>13</v>
      </c>
      <c r="B47" s="11">
        <f>SUM(B43)-B44-B45-B46</f>
        <v>16893.011</v>
      </c>
      <c r="C47" s="11">
        <f>SUM(C43)-C44-C45-C46</f>
        <v>9593.044999999998</v>
      </c>
      <c r="D47" s="11">
        <f>SUM(D43)-D44-D45-D46</f>
        <v>5934.443999999996</v>
      </c>
      <c r="E47" s="20">
        <f t="shared" si="2"/>
        <v>35.1295811030964</v>
      </c>
      <c r="F47" s="20">
        <f t="shared" si="1"/>
        <v>61.861942688687456</v>
      </c>
    </row>
    <row r="48" spans="1:6" s="3" customFormat="1" ht="15">
      <c r="A48" s="30" t="s">
        <v>14</v>
      </c>
      <c r="B48" s="25">
        <v>3578.693</v>
      </c>
      <c r="C48" s="25">
        <v>3578.693</v>
      </c>
      <c r="D48" s="25">
        <v>350.555</v>
      </c>
      <c r="E48" s="20">
        <f t="shared" si="2"/>
        <v>9.79561532660108</v>
      </c>
      <c r="F48" s="20">
        <f t="shared" si="1"/>
        <v>9.79561532660108</v>
      </c>
    </row>
    <row r="49" spans="1:6" s="3" customFormat="1" ht="14.25">
      <c r="A49" s="17" t="s">
        <v>0</v>
      </c>
      <c r="B49" s="18">
        <f>B50+B55</f>
        <v>90568.01</v>
      </c>
      <c r="C49" s="18">
        <f>C50+C55</f>
        <v>42171.949</v>
      </c>
      <c r="D49" s="18">
        <f>D50+D55</f>
        <v>29540.28</v>
      </c>
      <c r="E49" s="19">
        <f t="shared" si="2"/>
        <v>32.61668220379359</v>
      </c>
      <c r="F49" s="19">
        <f t="shared" si="1"/>
        <v>70.04722499308723</v>
      </c>
    </row>
    <row r="50" spans="1:6" s="3" customFormat="1" ht="15">
      <c r="A50" s="30" t="s">
        <v>31</v>
      </c>
      <c r="B50" s="25">
        <v>82568.01</v>
      </c>
      <c r="C50" s="25">
        <v>39039.249</v>
      </c>
      <c r="D50" s="25">
        <v>29274.441</v>
      </c>
      <c r="E50" s="20">
        <f t="shared" si="2"/>
        <v>35.45494314323429</v>
      </c>
      <c r="F50" s="20">
        <f t="shared" si="1"/>
        <v>74.98720326305457</v>
      </c>
    </row>
    <row r="51" spans="1:6" s="3" customFormat="1" ht="15">
      <c r="A51" s="12" t="s">
        <v>1</v>
      </c>
      <c r="B51" s="11">
        <v>50916.2</v>
      </c>
      <c r="C51" s="11">
        <v>24026.187</v>
      </c>
      <c r="D51" s="11">
        <v>18938.313</v>
      </c>
      <c r="E51" s="20">
        <f t="shared" si="2"/>
        <v>37.19506365361123</v>
      </c>
      <c r="F51" s="20">
        <f>SUM(D51)/C51*100</f>
        <v>78.82363106555358</v>
      </c>
    </row>
    <row r="52" spans="1:6" s="3" customFormat="1" ht="15">
      <c r="A52" s="12" t="s">
        <v>27</v>
      </c>
      <c r="B52" s="11">
        <v>11270.743</v>
      </c>
      <c r="C52" s="11">
        <v>5315.802</v>
      </c>
      <c r="D52" s="11">
        <v>4163.444</v>
      </c>
      <c r="E52" s="20">
        <f t="shared" si="2"/>
        <v>36.940279802316496</v>
      </c>
      <c r="F52" s="20">
        <f t="shared" si="1"/>
        <v>78.32202930056464</v>
      </c>
    </row>
    <row r="53" spans="1:6" s="3" customFormat="1" ht="15">
      <c r="A53" s="12" t="s">
        <v>29</v>
      </c>
      <c r="B53" s="11">
        <v>4798.274</v>
      </c>
      <c r="C53" s="11">
        <v>2185.256</v>
      </c>
      <c r="D53" s="11">
        <v>2067.731</v>
      </c>
      <c r="E53" s="20">
        <f t="shared" si="2"/>
        <v>43.093224772074294</v>
      </c>
      <c r="F53" s="20">
        <f t="shared" si="1"/>
        <v>94.6219115746622</v>
      </c>
    </row>
    <row r="54" spans="1:6" s="3" customFormat="1" ht="15">
      <c r="A54" s="12" t="s">
        <v>13</v>
      </c>
      <c r="B54" s="11">
        <f>SUM(B50)-B51-B52-B53</f>
        <v>15582.792999999994</v>
      </c>
      <c r="C54" s="11">
        <f>SUM(C50)-C51-C52-C53</f>
        <v>7512.004000000003</v>
      </c>
      <c r="D54" s="11">
        <f>SUM(D50)-D51-D52-D53</f>
        <v>4104.9529999999995</v>
      </c>
      <c r="E54" s="20">
        <f t="shared" si="2"/>
        <v>26.34285779192473</v>
      </c>
      <c r="F54" s="20">
        <f t="shared" si="1"/>
        <v>54.64524513032738</v>
      </c>
    </row>
    <row r="55" spans="1:6" s="3" customFormat="1" ht="15">
      <c r="A55" s="30" t="s">
        <v>14</v>
      </c>
      <c r="B55" s="25">
        <v>8000</v>
      </c>
      <c r="C55" s="25">
        <v>3132.7</v>
      </c>
      <c r="D55" s="25">
        <v>265.839</v>
      </c>
      <c r="E55" s="20">
        <f t="shared" si="2"/>
        <v>3.3229875</v>
      </c>
      <c r="F55" s="20">
        <f t="shared" si="1"/>
        <v>8.485938647173365</v>
      </c>
    </row>
    <row r="56" spans="1:6" s="3" customFormat="1" ht="14.25" customHeight="1">
      <c r="A56" s="21" t="s">
        <v>9</v>
      </c>
      <c r="B56" s="22">
        <f>B57+B60</f>
        <v>305839.955</v>
      </c>
      <c r="C56" s="22">
        <f>C57+C60</f>
        <v>110306.231</v>
      </c>
      <c r="D56" s="22">
        <f>D57+D60</f>
        <v>47515.50000000001</v>
      </c>
      <c r="E56" s="19">
        <f t="shared" si="2"/>
        <v>15.536066894856823</v>
      </c>
      <c r="F56" s="19">
        <f t="shared" si="1"/>
        <v>43.07598906176026</v>
      </c>
    </row>
    <row r="57" spans="1:6" s="3" customFormat="1" ht="14.25" customHeight="1">
      <c r="A57" s="30" t="s">
        <v>31</v>
      </c>
      <c r="B57" s="25">
        <v>179266.277</v>
      </c>
      <c r="C57" s="25">
        <v>77430.345</v>
      </c>
      <c r="D57" s="25">
        <f>41094.052+745.042</f>
        <v>41839.094000000005</v>
      </c>
      <c r="E57" s="20">
        <f t="shared" si="2"/>
        <v>23.339076763445032</v>
      </c>
      <c r="F57" s="20">
        <f t="shared" si="1"/>
        <v>54.03449254940037</v>
      </c>
    </row>
    <row r="58" spans="1:6" s="3" customFormat="1" ht="15">
      <c r="A58" s="12" t="s">
        <v>29</v>
      </c>
      <c r="B58" s="11">
        <v>20033.7</v>
      </c>
      <c r="C58" s="11">
        <v>10442.234</v>
      </c>
      <c r="D58" s="11">
        <f>8999.594+187.259</f>
        <v>9186.853</v>
      </c>
      <c r="E58" s="20">
        <f t="shared" si="2"/>
        <v>45.85699596180435</v>
      </c>
      <c r="F58" s="20">
        <f>SUM(D58)/C58*100</f>
        <v>87.97785033355888</v>
      </c>
    </row>
    <row r="59" spans="1:6" s="3" customFormat="1" ht="15">
      <c r="A59" s="12" t="s">
        <v>13</v>
      </c>
      <c r="B59" s="11">
        <f>SUM(B57)-B58</f>
        <v>159232.577</v>
      </c>
      <c r="C59" s="11">
        <f>SUM(C57)-C58</f>
        <v>66988.111</v>
      </c>
      <c r="D59" s="11">
        <f>SUM(D57)-D58</f>
        <v>32652.241000000005</v>
      </c>
      <c r="E59" s="20">
        <f t="shared" si="2"/>
        <v>20.506005501625467</v>
      </c>
      <c r="F59" s="20">
        <f t="shared" si="1"/>
        <v>48.743337455806156</v>
      </c>
    </row>
    <row r="60" spans="1:6" s="3" customFormat="1" ht="15">
      <c r="A60" s="30" t="s">
        <v>14</v>
      </c>
      <c r="B60" s="25">
        <v>126573.678</v>
      </c>
      <c r="C60" s="25">
        <f>30410.886+2465</f>
        <v>32875.886</v>
      </c>
      <c r="D60" s="25">
        <v>5676.406</v>
      </c>
      <c r="E60" s="20">
        <f t="shared" si="2"/>
        <v>4.484665445212077</v>
      </c>
      <c r="F60" s="20">
        <f t="shared" si="1"/>
        <v>17.266168887433178</v>
      </c>
    </row>
    <row r="61" spans="1:6" s="3" customFormat="1" ht="17.25" customHeight="1">
      <c r="A61" s="21" t="s">
        <v>21</v>
      </c>
      <c r="B61" s="22">
        <f>SUM(B62)</f>
        <v>97307.069</v>
      </c>
      <c r="C61" s="22">
        <f>SUM(C62)</f>
        <v>32655.587</v>
      </c>
      <c r="D61" s="22">
        <f>SUM(D62)</f>
        <v>2551.593</v>
      </c>
      <c r="E61" s="20">
        <f t="shared" si="2"/>
        <v>2.6222072314191274</v>
      </c>
      <c r="F61" s="20">
        <f t="shared" si="1"/>
        <v>7.813649162086721</v>
      </c>
    </row>
    <row r="62" spans="1:6" s="3" customFormat="1" ht="15">
      <c r="A62" s="30" t="s">
        <v>14</v>
      </c>
      <c r="B62" s="25">
        <v>97307.069</v>
      </c>
      <c r="C62" s="25">
        <f>14666.272+17989.315</f>
        <v>32655.587</v>
      </c>
      <c r="D62" s="25">
        <f>1832.812+718.781</f>
        <v>2551.593</v>
      </c>
      <c r="E62" s="20">
        <f t="shared" si="2"/>
        <v>2.6222072314191274</v>
      </c>
      <c r="F62" s="20">
        <f t="shared" si="1"/>
        <v>7.813649162086721</v>
      </c>
    </row>
    <row r="63" spans="1:6" s="3" customFormat="1" ht="15" customHeight="1">
      <c r="A63" s="23" t="s">
        <v>16</v>
      </c>
      <c r="B63" s="22">
        <f>SUM(B64:B65)</f>
        <v>192940.72999999998</v>
      </c>
      <c r="C63" s="22">
        <f>SUM(C64:C65)</f>
        <v>86916.266</v>
      </c>
      <c r="D63" s="22">
        <f>1832.812+718.781</f>
        <v>2551.593</v>
      </c>
      <c r="E63" s="19">
        <f t="shared" si="2"/>
        <v>1.3224750419468196</v>
      </c>
      <c r="F63" s="19">
        <f t="shared" si="1"/>
        <v>2.9356910017280304</v>
      </c>
    </row>
    <row r="64" spans="1:6" s="3" customFormat="1" ht="15">
      <c r="A64" s="30" t="s">
        <v>13</v>
      </c>
      <c r="B64" s="25">
        <v>82070.117</v>
      </c>
      <c r="C64" s="25">
        <v>47146.367</v>
      </c>
      <c r="D64" s="25">
        <v>30630.71</v>
      </c>
      <c r="E64" s="20">
        <f t="shared" si="2"/>
        <v>37.322610372299096</v>
      </c>
      <c r="F64" s="20">
        <f t="shared" si="1"/>
        <v>64.96939626334304</v>
      </c>
    </row>
    <row r="65" spans="1:6" s="3" customFormat="1" ht="15">
      <c r="A65" s="30" t="s">
        <v>14</v>
      </c>
      <c r="B65" s="25">
        <v>110870.613</v>
      </c>
      <c r="C65" s="25">
        <v>39769.899</v>
      </c>
      <c r="D65" s="25">
        <v>5812.726</v>
      </c>
      <c r="E65" s="20">
        <f t="shared" si="2"/>
        <v>5.242801354403984</v>
      </c>
      <c r="F65" s="20">
        <f t="shared" si="1"/>
        <v>14.615893291557015</v>
      </c>
    </row>
    <row r="66" spans="1:6" s="3" customFormat="1" ht="60.75" customHeight="1">
      <c r="A66" s="24" t="s">
        <v>20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2"/>
        <v>4.3478260869565215</v>
      </c>
      <c r="F66" s="19">
        <f t="shared" si="1"/>
        <v>100</v>
      </c>
    </row>
    <row r="67" spans="1:6" s="3" customFormat="1" ht="15">
      <c r="A67" s="30" t="s">
        <v>14</v>
      </c>
      <c r="B67" s="25">
        <v>6900</v>
      </c>
      <c r="C67" s="25">
        <v>300</v>
      </c>
      <c r="D67" s="25">
        <v>300</v>
      </c>
      <c r="E67" s="20">
        <f t="shared" si="2"/>
        <v>4.3478260869565215</v>
      </c>
      <c r="F67" s="20">
        <f t="shared" si="1"/>
        <v>100</v>
      </c>
    </row>
    <row r="68" spans="1:6" s="3" customFormat="1" ht="42.75">
      <c r="A68" s="23" t="s">
        <v>10</v>
      </c>
      <c r="B68" s="18">
        <f>SUM(B69)+B72</f>
        <v>9526</v>
      </c>
      <c r="C68" s="18">
        <f>SUM(C69)+C72</f>
        <v>4573.131</v>
      </c>
      <c r="D68" s="18">
        <f>SUM(D69)+D72</f>
        <v>2427.039</v>
      </c>
      <c r="E68" s="19">
        <f t="shared" si="2"/>
        <v>25.478049548603828</v>
      </c>
      <c r="F68" s="19">
        <f t="shared" si="1"/>
        <v>53.07171388705025</v>
      </c>
    </row>
    <row r="69" spans="1:6" s="3" customFormat="1" ht="15">
      <c r="A69" s="30" t="s">
        <v>31</v>
      </c>
      <c r="B69" s="25">
        <v>8800.034</v>
      </c>
      <c r="C69" s="25">
        <v>4573.131</v>
      </c>
      <c r="D69" s="25">
        <v>2427.039</v>
      </c>
      <c r="E69" s="20">
        <f aca="true" t="shared" si="3" ref="E69:E90">SUM(D69)/B69*100</f>
        <v>27.57988207772834</v>
      </c>
      <c r="F69" s="20">
        <f t="shared" si="1"/>
        <v>53.07171388705025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8785.078</v>
      </c>
      <c r="C71" s="11">
        <f>SUM(C69)-C70</f>
        <v>4561.991</v>
      </c>
      <c r="D71" s="11">
        <f>SUM(D69)-D70</f>
        <v>2425.6420000000003</v>
      </c>
      <c r="E71" s="19">
        <f t="shared" si="3"/>
        <v>27.610932993423624</v>
      </c>
      <c r="F71" s="19">
        <f t="shared" si="1"/>
        <v>53.170687973737785</v>
      </c>
    </row>
    <row r="72" spans="1:6" s="3" customFormat="1" ht="15">
      <c r="A72" s="30" t="s">
        <v>14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2470</v>
      </c>
      <c r="C73" s="18">
        <v>570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18903.6</v>
      </c>
      <c r="D74" s="18">
        <v>15753</v>
      </c>
      <c r="E74" s="20">
        <f t="shared" si="3"/>
        <v>41.667327926869916</v>
      </c>
      <c r="F74" s="20">
        <f aca="true" t="shared" si="4" ref="F74:F90">SUM(D74)/C74*100</f>
        <v>83.33333333333334</v>
      </c>
    </row>
    <row r="75" spans="1:6" s="2" customFormat="1" ht="15">
      <c r="A75" s="17" t="s">
        <v>17</v>
      </c>
      <c r="B75" s="18">
        <f>SUM(B76)+B80</f>
        <v>18652.517</v>
      </c>
      <c r="C75" s="18">
        <f>SUM(C76)+C80</f>
        <v>12983.265</v>
      </c>
      <c r="D75" s="18">
        <f>SUM(D76)+D80</f>
        <v>861.2180000000001</v>
      </c>
      <c r="E75" s="20">
        <f t="shared" si="3"/>
        <v>4.617167752748865</v>
      </c>
      <c r="F75" s="20">
        <f t="shared" si="4"/>
        <v>6.633292935174627</v>
      </c>
    </row>
    <row r="76" spans="1:6" s="2" customFormat="1" ht="15">
      <c r="A76" s="30" t="s">
        <v>31</v>
      </c>
      <c r="B76" s="25">
        <f>11714.289-51+830.938</f>
        <v>12494.227</v>
      </c>
      <c r="C76" s="25">
        <f>134+85+195.337+7948.422+32.019-636.201+1946.188</f>
        <v>9704.765</v>
      </c>
      <c r="D76" s="25">
        <f>218.769+36+53.875+653.87-572.473+15.001+15.946+29.534+90.001+103.336+122.519+94.84</f>
        <v>861.2180000000001</v>
      </c>
      <c r="E76" s="19">
        <f t="shared" si="3"/>
        <v>6.8929274296040886</v>
      </c>
      <c r="F76" s="20">
        <f t="shared" si="4"/>
        <v>8.874176757500054</v>
      </c>
    </row>
    <row r="77" spans="1:6" s="3" customFormat="1" ht="15">
      <c r="A77" s="12" t="s">
        <v>1</v>
      </c>
      <c r="B77" s="11"/>
      <c r="C77" s="11"/>
      <c r="D77" s="11"/>
      <c r="E77" s="19"/>
      <c r="F77" s="19"/>
    </row>
    <row r="78" spans="1:6" s="3" customFormat="1" ht="15">
      <c r="A78" s="12" t="s">
        <v>27</v>
      </c>
      <c r="B78" s="11"/>
      <c r="C78" s="11"/>
      <c r="D78" s="11"/>
      <c r="E78" s="19"/>
      <c r="F78" s="19"/>
    </row>
    <row r="79" spans="1:6" s="3" customFormat="1" ht="15">
      <c r="A79" s="12" t="s">
        <v>13</v>
      </c>
      <c r="B79" s="11">
        <f>SUM(B76)-B77-B78</f>
        <v>12494.227</v>
      </c>
      <c r="C79" s="11">
        <f>SUM(C76)-C77-C78</f>
        <v>9704.765</v>
      </c>
      <c r="D79" s="11">
        <f>SUM(D76)-D77-D78</f>
        <v>861.2180000000001</v>
      </c>
      <c r="E79" s="20">
        <f t="shared" si="3"/>
        <v>6.8929274296040886</v>
      </c>
      <c r="F79" s="20">
        <f>SUM(D79)/C79*100</f>
        <v>8.874176757500054</v>
      </c>
    </row>
    <row r="80" spans="1:6" s="3" customFormat="1" ht="15">
      <c r="A80" s="30" t="s">
        <v>14</v>
      </c>
      <c r="B80" s="25">
        <v>6158.29</v>
      </c>
      <c r="C80" s="25">
        <f>2978.5+300</f>
        <v>3278.5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3"/>
        <v>53.085600530856006</v>
      </c>
      <c r="F81" s="20">
        <f t="shared" si="4"/>
        <v>53.192904066597514</v>
      </c>
    </row>
    <row r="82" spans="1:12" s="9" customFormat="1" ht="15.75">
      <c r="A82" s="27" t="s">
        <v>25</v>
      </c>
      <c r="B82" s="28">
        <f>B5+B14+B23+B35+B42+B49+B56+B61+B63+B66+B68+B73+B74+B75+B81</f>
        <v>2728723.162</v>
      </c>
      <c r="C82" s="28">
        <f>C5+C14+C23+C35+C42+C49+C56+C61+C63+C66+C68+C73+C74+C75+C81</f>
        <v>1392283.2470000004</v>
      </c>
      <c r="D82" s="28">
        <f>D5+D14+D23+D35+D42+D49+D56+D61+D63+D66+D68+D73+D74+D75+D81</f>
        <v>913922.4770000001</v>
      </c>
      <c r="E82" s="20">
        <f t="shared" si="3"/>
        <v>33.49267854384123</v>
      </c>
      <c r="F82" s="20">
        <f t="shared" si="4"/>
        <v>65.64199339245513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2286234.51</v>
      </c>
      <c r="C83" s="28">
        <f>C6+C15+C24+C36+C43+C50+C57+C64+C69+C76+C74</f>
        <v>1234240.573</v>
      </c>
      <c r="D83" s="28">
        <f>D6+D15+D24+D36+D43+D50+D57+D64+D69+D76+D74</f>
        <v>916708.4230000001</v>
      </c>
      <c r="E83" s="20">
        <f t="shared" si="3"/>
        <v>40.096867534380806</v>
      </c>
      <c r="F83" s="20">
        <f t="shared" si="4"/>
        <v>74.27307471928327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754676.7779999999</v>
      </c>
      <c r="C84" s="22">
        <f t="shared" si="5"/>
        <v>408632.55299999996</v>
      </c>
      <c r="D84" s="22">
        <f t="shared" si="5"/>
        <v>297586.053</v>
      </c>
      <c r="E84" s="19">
        <f t="shared" si="3"/>
        <v>39.43225254507567</v>
      </c>
      <c r="F84" s="19">
        <f t="shared" si="4"/>
        <v>72.82485225791594</v>
      </c>
    </row>
    <row r="85" spans="1:6" ht="15">
      <c r="A85" s="29" t="s">
        <v>28</v>
      </c>
      <c r="B85" s="22">
        <f t="shared" si="5"/>
        <v>166066.153</v>
      </c>
      <c r="C85" s="22">
        <f t="shared" si="5"/>
        <v>90202.699</v>
      </c>
      <c r="D85" s="22">
        <f t="shared" si="5"/>
        <v>65702.952</v>
      </c>
      <c r="E85" s="19">
        <f t="shared" si="3"/>
        <v>39.56432470619104</v>
      </c>
      <c r="F85" s="19">
        <f t="shared" si="4"/>
        <v>72.8392306753482</v>
      </c>
    </row>
    <row r="86" spans="1:6" ht="15">
      <c r="A86" s="29" t="s">
        <v>2</v>
      </c>
      <c r="B86" s="22">
        <f>B70+B11+B20+B29+B39+B46+B53+B58</f>
        <v>165680.90200000006</v>
      </c>
      <c r="C86" s="22">
        <f>C70+C11+C20+C29+C39+C46+C53+C58</f>
        <v>86280.61899999998</v>
      </c>
      <c r="D86" s="22">
        <f>D70+D11+D20+D29+D39+D46+D53+D58</f>
        <v>74776.40800000001</v>
      </c>
      <c r="E86" s="19">
        <f t="shared" si="3"/>
        <v>45.13278663825719</v>
      </c>
      <c r="F86" s="19">
        <f>SUM(D86)/C86*100</f>
        <v>86.66651777266459</v>
      </c>
    </row>
    <row r="87" spans="1:6" ht="15">
      <c r="A87" s="29" t="s">
        <v>13</v>
      </c>
      <c r="B87" s="22">
        <f>B83-B84-B85-B86</f>
        <v>1199810.677</v>
      </c>
      <c r="C87" s="22">
        <f>C83-C84-C85-C86</f>
        <v>649124.7020000002</v>
      </c>
      <c r="D87" s="22">
        <f>D83-D84-D85-D86</f>
        <v>478643.01000000007</v>
      </c>
      <c r="E87" s="19">
        <f t="shared" si="3"/>
        <v>39.893211418721194</v>
      </c>
      <c r="F87" s="19">
        <f t="shared" si="4"/>
        <v>73.73668087584193</v>
      </c>
    </row>
    <row r="88" spans="1:6" ht="20.25" customHeight="1">
      <c r="A88" s="17" t="s">
        <v>14</v>
      </c>
      <c r="B88" s="18">
        <f>B13+B22+B41+B34+B55+B60+B62+B65+B67+B72+B80+B48</f>
        <v>424948.65200000006</v>
      </c>
      <c r="C88" s="18">
        <f>C13+C22+C41+C34+C55+C60+C62+C65+C67+C72+C80+C48</f>
        <v>142433.074</v>
      </c>
      <c r="D88" s="18">
        <f>D13+D22+D41+D34+D55+D60+D62+D65+D67+D72+D80+D48</f>
        <v>23105.897</v>
      </c>
      <c r="E88" s="19">
        <f t="shared" si="3"/>
        <v>5.437338579909179</v>
      </c>
      <c r="F88" s="19">
        <f t="shared" si="4"/>
        <v>16.22228345643934</v>
      </c>
    </row>
    <row r="89" spans="1:6" ht="15">
      <c r="A89" s="17" t="s">
        <v>24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3"/>
        <v>53.085600530856006</v>
      </c>
      <c r="F89" s="19">
        <f t="shared" si="4"/>
        <v>53.192904066597514</v>
      </c>
    </row>
    <row r="90" spans="1:6" ht="15">
      <c r="A90" s="17" t="s">
        <v>30</v>
      </c>
      <c r="B90" s="18">
        <f>SUM(B73)</f>
        <v>2470</v>
      </c>
      <c r="C90" s="18">
        <f>SUM(C73)</f>
        <v>570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70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72</v>
      </c>
      <c r="D3" s="71" t="s">
        <v>71</v>
      </c>
      <c r="E3" s="71" t="s">
        <v>67</v>
      </c>
      <c r="F3" s="71" t="s">
        <v>68</v>
      </c>
    </row>
    <row r="4" spans="1:6" s="31" customFormat="1" ht="114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723424.233</v>
      </c>
      <c r="C5" s="18">
        <f>C6+C13</f>
        <v>403779.042</v>
      </c>
      <c r="D5" s="18">
        <f>D6+D13</f>
        <v>284452.701</v>
      </c>
      <c r="E5" s="19">
        <f aca="true" t="shared" si="0" ref="E5:E36">SUM(D5)/B5*100</f>
        <v>39.32031690732705</v>
      </c>
      <c r="F5" s="19">
        <f>SUM(D5)/C5*100</f>
        <v>70.44761401955083</v>
      </c>
    </row>
    <row r="6" spans="1:6" s="37" customFormat="1" ht="15">
      <c r="A6" s="36" t="s">
        <v>34</v>
      </c>
      <c r="B6" s="25">
        <v>687011.794</v>
      </c>
      <c r="C6" s="25">
        <v>390767.914</v>
      </c>
      <c r="D6" s="25">
        <f>277697.332+1282.772</f>
        <v>278980.104</v>
      </c>
      <c r="E6" s="20">
        <f t="shared" si="0"/>
        <v>40.60776051247819</v>
      </c>
      <c r="F6" s="20">
        <f>SUM(D6)/C6*100</f>
        <v>71.39278687041843</v>
      </c>
    </row>
    <row r="7" spans="1:6" s="37" customFormat="1" ht="15">
      <c r="A7" s="38" t="s">
        <v>35</v>
      </c>
      <c r="B7" s="11">
        <v>401715.273</v>
      </c>
      <c r="C7" s="11">
        <v>236982.495</v>
      </c>
      <c r="D7" s="11">
        <f>164131.356+667.839</f>
        <v>164799.195</v>
      </c>
      <c r="E7" s="20">
        <f t="shared" si="0"/>
        <v>41.02388086200547</v>
      </c>
      <c r="F7" s="20">
        <f aca="true" t="shared" si="1" ref="F7:F73">SUM(D7)/C7*100</f>
        <v>69.54066164254031</v>
      </c>
    </row>
    <row r="8" spans="1:6" s="37" customFormat="1" ht="15">
      <c r="A8" s="38" t="s">
        <v>36</v>
      </c>
      <c r="B8" s="11">
        <v>88410.024</v>
      </c>
      <c r="C8" s="11">
        <v>52431.073</v>
      </c>
      <c r="D8" s="11">
        <f>36530.533+143.295</f>
        <v>36673.828</v>
      </c>
      <c r="E8" s="20">
        <f t="shared" si="0"/>
        <v>41.48152702684483</v>
      </c>
      <c r="F8" s="20">
        <f t="shared" si="1"/>
        <v>69.9467432222873</v>
      </c>
    </row>
    <row r="9" spans="1:6" s="37" customFormat="1" ht="15">
      <c r="A9" s="38" t="s">
        <v>37</v>
      </c>
      <c r="B9" s="11">
        <v>153.271</v>
      </c>
      <c r="C9" s="11">
        <v>19.152</v>
      </c>
      <c r="D9" s="11">
        <v>11.093</v>
      </c>
      <c r="E9" s="20">
        <f t="shared" si="0"/>
        <v>7.237507421495261</v>
      </c>
      <c r="F9" s="20"/>
    </row>
    <row r="10" spans="1:6" s="37" customFormat="1" ht="15">
      <c r="A10" s="38" t="s">
        <v>38</v>
      </c>
      <c r="B10" s="11">
        <v>47933.507</v>
      </c>
      <c r="C10" s="11">
        <v>22205.705</v>
      </c>
      <c r="D10" s="11">
        <f>17999.068+8.359</f>
        <v>18007.427</v>
      </c>
      <c r="E10" s="20">
        <f t="shared" si="0"/>
        <v>37.56751409822778</v>
      </c>
      <c r="F10" s="20">
        <f t="shared" si="1"/>
        <v>81.09369641720448</v>
      </c>
    </row>
    <row r="11" spans="1:6" s="37" customFormat="1" ht="30">
      <c r="A11" s="38" t="s">
        <v>39</v>
      </c>
      <c r="B11" s="11">
        <v>92734.871</v>
      </c>
      <c r="C11" s="11">
        <v>47490.21</v>
      </c>
      <c r="D11" s="11">
        <f>42981.698+11.828</f>
        <v>42993.526</v>
      </c>
      <c r="E11" s="20">
        <f t="shared" si="0"/>
        <v>46.36176827161381</v>
      </c>
      <c r="F11" s="20">
        <f t="shared" si="1"/>
        <v>90.53134530253709</v>
      </c>
    </row>
    <row r="12" spans="1:6" s="37" customFormat="1" ht="15">
      <c r="A12" s="38" t="s">
        <v>40</v>
      </c>
      <c r="B12" s="11">
        <f>SUM(B6)-B7-B8-B9-B10-B11</f>
        <v>56064.84799999998</v>
      </c>
      <c r="C12" s="11">
        <f>SUM(C6)-C7-C8-C9-C10-C11</f>
        <v>31639.278999999988</v>
      </c>
      <c r="D12" s="11">
        <f>SUM(D6)-D7-D8-D9-D10-D11</f>
        <v>16495.03499999999</v>
      </c>
      <c r="E12" s="20">
        <f t="shared" si="0"/>
        <v>29.421349719881505</v>
      </c>
      <c r="F12" s="20">
        <f t="shared" si="1"/>
        <v>52.13467411820603</v>
      </c>
    </row>
    <row r="13" spans="1:6" s="37" customFormat="1" ht="15">
      <c r="A13" s="36" t="s">
        <v>41</v>
      </c>
      <c r="B13" s="25">
        <v>36412.439</v>
      </c>
      <c r="C13" s="25">
        <v>13011.128</v>
      </c>
      <c r="D13" s="25">
        <v>5472.597</v>
      </c>
      <c r="E13" s="20">
        <f t="shared" si="0"/>
        <v>15.029471110133546</v>
      </c>
      <c r="F13" s="20">
        <f t="shared" si="1"/>
        <v>42.060895873132594</v>
      </c>
    </row>
    <row r="14" spans="1:6" s="35" customFormat="1" ht="14.25">
      <c r="A14" s="34" t="s">
        <v>42</v>
      </c>
      <c r="B14" s="18">
        <f>B15+B22</f>
        <v>389669.912</v>
      </c>
      <c r="C14" s="18">
        <f>C15+C22</f>
        <v>191397.19000000003</v>
      </c>
      <c r="D14" s="18">
        <f>D15+D22</f>
        <v>142951.787</v>
      </c>
      <c r="E14" s="19">
        <f t="shared" si="0"/>
        <v>36.68535409015619</v>
      </c>
      <c r="F14" s="19">
        <f t="shared" si="1"/>
        <v>74.68855054768568</v>
      </c>
    </row>
    <row r="15" spans="1:6" s="37" customFormat="1" ht="15">
      <c r="A15" s="36" t="s">
        <v>43</v>
      </c>
      <c r="B15" s="25">
        <f>349501.912+25271</f>
        <v>374772.912</v>
      </c>
      <c r="C15" s="25">
        <f>173741.684+12615.2</f>
        <v>186356.88400000002</v>
      </c>
      <c r="D15" s="25">
        <f>130737.289+920.666+10505.9</f>
        <v>142163.855</v>
      </c>
      <c r="E15" s="20">
        <f t="shared" si="0"/>
        <v>37.93333254565635</v>
      </c>
      <c r="F15" s="20">
        <f>SUM(D15)/C15*100</f>
        <v>76.28580814862734</v>
      </c>
    </row>
    <row r="16" spans="1:6" s="37" customFormat="1" ht="15">
      <c r="A16" s="38" t="s">
        <v>35</v>
      </c>
      <c r="B16" s="11">
        <v>221602.052</v>
      </c>
      <c r="C16" s="11">
        <v>106554.137</v>
      </c>
      <c r="D16" s="11">
        <f>83369.85+110.51</f>
        <v>83480.36</v>
      </c>
      <c r="E16" s="20">
        <f t="shared" si="0"/>
        <v>37.67129376581766</v>
      </c>
      <c r="F16" s="20">
        <f t="shared" si="1"/>
        <v>78.34548929808328</v>
      </c>
    </row>
    <row r="17" spans="1:6" s="37" customFormat="1" ht="15">
      <c r="A17" s="38" t="s">
        <v>36</v>
      </c>
      <c r="B17" s="11">
        <v>48697.18</v>
      </c>
      <c r="C17" s="11">
        <v>23396.168</v>
      </c>
      <c r="D17" s="11">
        <f>18145.184+24.319</f>
        <v>18169.503</v>
      </c>
      <c r="E17" s="20">
        <f t="shared" si="0"/>
        <v>37.31120159319287</v>
      </c>
      <c r="F17" s="20">
        <f t="shared" si="1"/>
        <v>77.66016639989934</v>
      </c>
    </row>
    <row r="18" spans="1:6" s="37" customFormat="1" ht="15">
      <c r="A18" s="38" t="s">
        <v>37</v>
      </c>
      <c r="B18" s="11">
        <v>16661.29</v>
      </c>
      <c r="C18" s="11">
        <v>9051.229</v>
      </c>
      <c r="D18" s="11">
        <f>5830.783+52.474</f>
        <v>5883.2570000000005</v>
      </c>
      <c r="E18" s="20">
        <f t="shared" si="0"/>
        <v>35.310933307084866</v>
      </c>
      <c r="F18" s="20">
        <f t="shared" si="1"/>
        <v>64.99953763185088</v>
      </c>
    </row>
    <row r="19" spans="1:6" s="37" customFormat="1" ht="15">
      <c r="A19" s="38" t="s">
        <v>38</v>
      </c>
      <c r="B19" s="11">
        <v>6745.744</v>
      </c>
      <c r="C19" s="11">
        <v>4024.459</v>
      </c>
      <c r="D19" s="11">
        <f>2292.162+13.748</f>
        <v>2305.91</v>
      </c>
      <c r="E19" s="20">
        <f t="shared" si="0"/>
        <v>34.18318275938132</v>
      </c>
      <c r="F19" s="20">
        <f t="shared" si="1"/>
        <v>57.29739077972965</v>
      </c>
    </row>
    <row r="20" spans="1:6" s="37" customFormat="1" ht="30">
      <c r="A20" s="38" t="s">
        <v>39</v>
      </c>
      <c r="B20" s="11">
        <v>36131.055</v>
      </c>
      <c r="C20" s="11">
        <v>19914.33</v>
      </c>
      <c r="D20" s="11">
        <f>15134.224+213.348</f>
        <v>15347.572</v>
      </c>
      <c r="E20" s="20">
        <f t="shared" si="0"/>
        <v>42.4775086141271</v>
      </c>
      <c r="F20" s="20">
        <f t="shared" si="1"/>
        <v>77.06798069530835</v>
      </c>
    </row>
    <row r="21" spans="1:6" s="37" customFormat="1" ht="15">
      <c r="A21" s="38" t="s">
        <v>40</v>
      </c>
      <c r="B21" s="11">
        <f>SUM(B15)-B16-B17-B18-B19-B20</f>
        <v>44935.59100000001</v>
      </c>
      <c r="C21" s="11">
        <f>SUM(C15)-C16-C17-C18-C19-C20</f>
        <v>23416.56100000001</v>
      </c>
      <c r="D21" s="11">
        <f>SUM(D15)-D16-D17-D18-D19-D20</f>
        <v>16977.253000000015</v>
      </c>
      <c r="E21" s="20">
        <f t="shared" si="0"/>
        <v>37.78130569151747</v>
      </c>
      <c r="F21" s="20">
        <f t="shared" si="1"/>
        <v>72.5010517129309</v>
      </c>
    </row>
    <row r="22" spans="1:6" s="37" customFormat="1" ht="15">
      <c r="A22" s="36" t="s">
        <v>41</v>
      </c>
      <c r="B22" s="25">
        <v>14897</v>
      </c>
      <c r="C22" s="25">
        <v>5040.306</v>
      </c>
      <c r="D22" s="25">
        <f>554.304+233.628</f>
        <v>787.932</v>
      </c>
      <c r="E22" s="20">
        <f t="shared" si="0"/>
        <v>5.2891991676176415</v>
      </c>
      <c r="F22" s="20">
        <f t="shared" si="1"/>
        <v>15.632622305074337</v>
      </c>
    </row>
    <row r="23" spans="1:6" s="35" customFormat="1" ht="28.5">
      <c r="A23" s="34" t="s">
        <v>59</v>
      </c>
      <c r="B23" s="18">
        <f>B24+B34</f>
        <v>686890.8130000001</v>
      </c>
      <c r="C23" s="18">
        <f>C24+C34</f>
        <v>389212.253</v>
      </c>
      <c r="D23" s="18">
        <f>D24+D34</f>
        <v>322842.318</v>
      </c>
      <c r="E23" s="19">
        <f t="shared" si="0"/>
        <v>47.000529325757626</v>
      </c>
      <c r="F23" s="19">
        <f t="shared" si="1"/>
        <v>82.94762446751645</v>
      </c>
    </row>
    <row r="24" spans="1:6" s="37" customFormat="1" ht="15">
      <c r="A24" s="36" t="s">
        <v>43</v>
      </c>
      <c r="B24" s="25">
        <v>682948.077</v>
      </c>
      <c r="C24" s="25">
        <v>386870.782</v>
      </c>
      <c r="D24" s="25">
        <v>322842.318</v>
      </c>
      <c r="E24" s="20">
        <f t="shared" si="0"/>
        <v>47.27186866359681</v>
      </c>
      <c r="F24" s="20">
        <f>SUM(D24)/C24*100</f>
        <v>83.4496511550981</v>
      </c>
    </row>
    <row r="25" spans="1:6" s="37" customFormat="1" ht="15">
      <c r="A25" s="38" t="s">
        <v>35</v>
      </c>
      <c r="B25" s="11">
        <f>14660.587+636.762</f>
        <v>15297.349</v>
      </c>
      <c r="C25" s="11">
        <v>7452.004</v>
      </c>
      <c r="D25" s="11">
        <v>5847.892</v>
      </c>
      <c r="E25" s="20">
        <f t="shared" si="0"/>
        <v>38.22814005224042</v>
      </c>
      <c r="F25" s="20">
        <f t="shared" si="1"/>
        <v>78.47408562851012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v>1627.541</v>
      </c>
      <c r="D26" s="11">
        <v>1275.07</v>
      </c>
      <c r="E26" s="20">
        <f t="shared" si="0"/>
        <v>37.992519906987496</v>
      </c>
      <c r="F26" s="20">
        <f t="shared" si="1"/>
        <v>78.3433412737375</v>
      </c>
    </row>
    <row r="27" spans="1:6" s="37" customFormat="1" ht="15">
      <c r="A27" s="38" t="s">
        <v>37</v>
      </c>
      <c r="B27" s="11">
        <v>72.57</v>
      </c>
      <c r="C27" s="11">
        <v>39.6</v>
      </c>
      <c r="D27" s="11">
        <v>37.699</v>
      </c>
      <c r="E27" s="20">
        <f t="shared" si="0"/>
        <v>51.94846355243213</v>
      </c>
      <c r="F27" s="20">
        <f t="shared" si="1"/>
        <v>95.19949494949495</v>
      </c>
    </row>
    <row r="28" spans="1:6" s="37" customFormat="1" ht="15">
      <c r="A28" s="38" t="s">
        <v>38</v>
      </c>
      <c r="B28" s="11">
        <v>259.017</v>
      </c>
      <c r="C28" s="11">
        <v>121.405</v>
      </c>
      <c r="D28" s="11">
        <v>105.428</v>
      </c>
      <c r="E28" s="20">
        <f t="shared" si="0"/>
        <v>40.70311987244081</v>
      </c>
      <c r="F28" s="20">
        <f t="shared" si="1"/>
        <v>86.83991598369096</v>
      </c>
    </row>
    <row r="29" spans="1:6" s="37" customFormat="1" ht="30">
      <c r="A29" s="38" t="s">
        <v>39</v>
      </c>
      <c r="B29" s="11">
        <v>1309.543</v>
      </c>
      <c r="C29" s="11">
        <v>767.483</v>
      </c>
      <c r="D29" s="11">
        <v>572.677</v>
      </c>
      <c r="E29" s="20">
        <f t="shared" si="0"/>
        <v>43.73105732305087</v>
      </c>
      <c r="F29" s="20">
        <f t="shared" si="1"/>
        <v>74.61754853201961</v>
      </c>
    </row>
    <row r="30" spans="1:6" s="37" customFormat="1" ht="15">
      <c r="A30" s="38" t="s">
        <v>40</v>
      </c>
      <c r="B30" s="11">
        <f>SUM(B24)-B25-B26-B27-B28-B29</f>
        <v>662653.4900000001</v>
      </c>
      <c r="C30" s="11">
        <f>SUM(C24)-C25-C26-C27-C28-C29</f>
        <v>376862.74899999995</v>
      </c>
      <c r="D30" s="11">
        <f>SUM(D24)-D25-D26-D27-D28-D29</f>
        <v>315003.55199999997</v>
      </c>
      <c r="E30" s="20">
        <f t="shared" si="0"/>
        <v>47.53669251783461</v>
      </c>
      <c r="F30" s="20">
        <f t="shared" si="1"/>
        <v>83.58574914497585</v>
      </c>
    </row>
    <row r="31" spans="1:6" s="37" customFormat="1" ht="15">
      <c r="A31" s="38" t="s">
        <v>44</v>
      </c>
      <c r="B31" s="11">
        <f>SUM(B32:B33)</f>
        <v>639599.8</v>
      </c>
      <c r="C31" s="11">
        <f>SUM(C32:C33)</f>
        <v>365438.72699999996</v>
      </c>
      <c r="D31" s="11">
        <f>SUM(D32:D33)</f>
        <v>308210.379</v>
      </c>
      <c r="E31" s="20">
        <f t="shared" si="0"/>
        <v>48.18800428017644</v>
      </c>
      <c r="F31" s="20">
        <f>SUM(D31)/C31*100</f>
        <v>84.33982395084253</v>
      </c>
    </row>
    <row r="32" spans="1:6" s="37" customFormat="1" ht="30">
      <c r="A32" s="39" t="s">
        <v>63</v>
      </c>
      <c r="B32" s="11">
        <v>424514.7</v>
      </c>
      <c r="C32" s="11">
        <v>218437.968</v>
      </c>
      <c r="D32" s="67">
        <v>182568.737</v>
      </c>
      <c r="E32" s="20">
        <f t="shared" si="0"/>
        <v>43.00645819803177</v>
      </c>
      <c r="F32" s="20">
        <f>SUM(D32)/C32*100</f>
        <v>83.57921412270233</v>
      </c>
    </row>
    <row r="33" spans="1:6" s="37" customFormat="1" ht="15">
      <c r="A33" s="39" t="s">
        <v>60</v>
      </c>
      <c r="B33" s="11">
        <v>215085.1</v>
      </c>
      <c r="C33" s="11">
        <v>147000.759</v>
      </c>
      <c r="D33" s="11">
        <v>125641.642</v>
      </c>
      <c r="E33" s="20">
        <f t="shared" si="0"/>
        <v>58.41485160989767</v>
      </c>
      <c r="F33" s="20">
        <f>SUM(D33)/C33*100</f>
        <v>85.47006345729142</v>
      </c>
    </row>
    <row r="34" spans="1:6" s="37" customFormat="1" ht="15">
      <c r="A34" s="36" t="s">
        <v>41</v>
      </c>
      <c r="B34" s="25">
        <v>3942.736</v>
      </c>
      <c r="C34" s="25">
        <v>2341.471</v>
      </c>
      <c r="D34" s="25">
        <v>0</v>
      </c>
      <c r="E34" s="20">
        <f t="shared" si="0"/>
        <v>0</v>
      </c>
      <c r="F34" s="20">
        <f>SUM(D34)/C34*100</f>
        <v>0</v>
      </c>
    </row>
    <row r="35" spans="1:6" s="35" customFormat="1" ht="14.25">
      <c r="A35" s="34" t="s">
        <v>61</v>
      </c>
      <c r="B35" s="18">
        <f>B36+B41</f>
        <v>96875.568</v>
      </c>
      <c r="C35" s="18">
        <f>C36+C41</f>
        <v>53895.283</v>
      </c>
      <c r="D35" s="18">
        <f>D36+D41</f>
        <v>35041.40900000001</v>
      </c>
      <c r="E35" s="19">
        <f t="shared" si="0"/>
        <v>36.171564950204996</v>
      </c>
      <c r="F35" s="19">
        <f>SUM(D35)/C35*100</f>
        <v>65.0175804810228</v>
      </c>
    </row>
    <row r="36" spans="1:6" s="37" customFormat="1" ht="15">
      <c r="A36" s="36" t="s">
        <v>43</v>
      </c>
      <c r="B36" s="25">
        <v>87293.4</v>
      </c>
      <c r="C36" s="25">
        <v>47446.379</v>
      </c>
      <c r="D36" s="25">
        <f>32682.916+470.244</f>
        <v>33153.16</v>
      </c>
      <c r="E36" s="20">
        <f t="shared" si="0"/>
        <v>37.97899955781308</v>
      </c>
      <c r="F36" s="20">
        <f t="shared" si="1"/>
        <v>69.87500563530887</v>
      </c>
    </row>
    <row r="37" spans="1:6" s="37" customFormat="1" ht="15">
      <c r="A37" s="38" t="s">
        <v>35</v>
      </c>
      <c r="B37" s="11">
        <v>40460.715</v>
      </c>
      <c r="C37" s="11">
        <v>21766.973</v>
      </c>
      <c r="D37" s="11">
        <v>15359.586</v>
      </c>
      <c r="E37" s="20">
        <f aca="true" t="shared" si="2" ref="E37:E68">SUM(D37)/B37*100</f>
        <v>37.961726578484836</v>
      </c>
      <c r="F37" s="20">
        <f>SUM(D37)/C37*100</f>
        <v>70.5637205503953</v>
      </c>
    </row>
    <row r="38" spans="1:6" s="37" customFormat="1" ht="15">
      <c r="A38" s="38" t="s">
        <v>36</v>
      </c>
      <c r="B38" s="11">
        <v>8901.357</v>
      </c>
      <c r="C38" s="11">
        <v>4824.604</v>
      </c>
      <c r="D38" s="11">
        <v>3406.088</v>
      </c>
      <c r="E38" s="20">
        <f t="shared" si="2"/>
        <v>38.2648173755979</v>
      </c>
      <c r="F38" s="20">
        <f t="shared" si="1"/>
        <v>70.59829159035644</v>
      </c>
    </row>
    <row r="39" spans="1:6" s="37" customFormat="1" ht="30">
      <c r="A39" s="38" t="s">
        <v>39</v>
      </c>
      <c r="B39" s="11">
        <v>6464.382</v>
      </c>
      <c r="C39" s="11">
        <v>3520.122</v>
      </c>
      <c r="D39" s="11">
        <f>2931.309+2.029</f>
        <v>2933.338</v>
      </c>
      <c r="E39" s="20">
        <f t="shared" si="2"/>
        <v>45.37692852928556</v>
      </c>
      <c r="F39" s="20">
        <f t="shared" si="1"/>
        <v>83.33057774702127</v>
      </c>
    </row>
    <row r="40" spans="1:6" s="37" customFormat="1" ht="15">
      <c r="A40" s="38" t="s">
        <v>40</v>
      </c>
      <c r="B40" s="11">
        <f>SUM(B36)-B37-B38-B39</f>
        <v>31466.945999999996</v>
      </c>
      <c r="C40" s="11">
        <f>SUM(C36)-C37-C38-C39</f>
        <v>17334.68</v>
      </c>
      <c r="D40" s="11">
        <f>SUM(D36)-D37-D38-D39</f>
        <v>11454.148000000005</v>
      </c>
      <c r="E40" s="20">
        <f t="shared" si="2"/>
        <v>36.40057093560972</v>
      </c>
      <c r="F40" s="20">
        <f t="shared" si="1"/>
        <v>66.07648944197415</v>
      </c>
    </row>
    <row r="41" spans="1:6" s="37" customFormat="1" ht="15">
      <c r="A41" s="36" t="s">
        <v>41</v>
      </c>
      <c r="B41" s="25">
        <v>9582.168</v>
      </c>
      <c r="C41" s="25">
        <v>6448.904</v>
      </c>
      <c r="D41" s="25">
        <f>1863.349+24.9</f>
        <v>1888.249</v>
      </c>
      <c r="E41" s="20">
        <f t="shared" si="2"/>
        <v>19.70586405915655</v>
      </c>
      <c r="F41" s="20">
        <f t="shared" si="1"/>
        <v>29.28015365091494</v>
      </c>
    </row>
    <row r="42" spans="1:6" s="35" customFormat="1" ht="14.25">
      <c r="A42" s="34" t="s">
        <v>62</v>
      </c>
      <c r="B42" s="18">
        <f>B43+B48</f>
        <v>54781.755</v>
      </c>
      <c r="C42" s="18">
        <f>C43+C48</f>
        <v>29579.85</v>
      </c>
      <c r="D42" s="18">
        <f>D43+D48</f>
        <v>19134.038999999997</v>
      </c>
      <c r="E42" s="19">
        <f t="shared" si="2"/>
        <v>34.92775833851982</v>
      </c>
      <c r="F42" s="19">
        <f t="shared" si="1"/>
        <v>64.68605824573146</v>
      </c>
    </row>
    <row r="43" spans="1:6" s="37" customFormat="1" ht="15">
      <c r="A43" s="36" t="s">
        <v>43</v>
      </c>
      <c r="B43" s="25">
        <v>51203.062</v>
      </c>
      <c r="C43" s="25">
        <v>26001.157</v>
      </c>
      <c r="D43" s="25">
        <f>18708.009+75.475</f>
        <v>18783.483999999997</v>
      </c>
      <c r="E43" s="20">
        <f t="shared" si="2"/>
        <v>36.68429829450434</v>
      </c>
      <c r="F43" s="20">
        <f t="shared" si="1"/>
        <v>72.2409545082936</v>
      </c>
    </row>
    <row r="44" spans="1:6" s="37" customFormat="1" ht="15">
      <c r="A44" s="38" t="s">
        <v>35</v>
      </c>
      <c r="B44" s="11">
        <v>24685.189</v>
      </c>
      <c r="C44" s="11">
        <v>11850.757</v>
      </c>
      <c r="D44" s="11">
        <v>9160.707</v>
      </c>
      <c r="E44" s="20">
        <f t="shared" si="2"/>
        <v>37.11013515027169</v>
      </c>
      <c r="F44" s="20">
        <f>SUM(D44)/C44*100</f>
        <v>77.30060619756189</v>
      </c>
    </row>
    <row r="45" spans="1:6" s="37" customFormat="1" ht="15">
      <c r="A45" s="38" t="s">
        <v>36</v>
      </c>
      <c r="B45" s="11">
        <v>5430.741</v>
      </c>
      <c r="C45" s="11">
        <v>2607.511</v>
      </c>
      <c r="D45" s="11">
        <v>2015.019</v>
      </c>
      <c r="E45" s="20">
        <f t="shared" si="2"/>
        <v>37.10394216921779</v>
      </c>
      <c r="F45" s="20">
        <f t="shared" si="1"/>
        <v>77.27748799525678</v>
      </c>
    </row>
    <row r="46" spans="1:6" s="37" customFormat="1" ht="30">
      <c r="A46" s="38" t="s">
        <v>39</v>
      </c>
      <c r="B46" s="11">
        <v>4194.121</v>
      </c>
      <c r="C46" s="11">
        <v>1949.844</v>
      </c>
      <c r="D46" s="11">
        <v>1673.314</v>
      </c>
      <c r="E46" s="20">
        <f t="shared" si="2"/>
        <v>39.89665534208479</v>
      </c>
      <c r="F46" s="20">
        <f t="shared" si="1"/>
        <v>85.81783978615725</v>
      </c>
    </row>
    <row r="47" spans="1:6" s="37" customFormat="1" ht="15">
      <c r="A47" s="38" t="s">
        <v>40</v>
      </c>
      <c r="B47" s="11">
        <f>SUM(B43)-B44-B45-B46</f>
        <v>16893.011</v>
      </c>
      <c r="C47" s="11">
        <f>SUM(C43)-C44-C45-C46</f>
        <v>9593.044999999998</v>
      </c>
      <c r="D47" s="11">
        <f>SUM(D43)-D44-D45-D46</f>
        <v>5934.443999999996</v>
      </c>
      <c r="E47" s="20">
        <f t="shared" si="2"/>
        <v>35.1295811030964</v>
      </c>
      <c r="F47" s="20">
        <f t="shared" si="1"/>
        <v>61.861942688687456</v>
      </c>
    </row>
    <row r="48" spans="1:6" s="37" customFormat="1" ht="15">
      <c r="A48" s="36" t="s">
        <v>41</v>
      </c>
      <c r="B48" s="25">
        <v>3578.693</v>
      </c>
      <c r="C48" s="25">
        <v>3578.693</v>
      </c>
      <c r="D48" s="25">
        <v>350.555</v>
      </c>
      <c r="E48" s="20">
        <f t="shared" si="2"/>
        <v>9.79561532660108</v>
      </c>
      <c r="F48" s="20">
        <f t="shared" si="1"/>
        <v>9.79561532660108</v>
      </c>
    </row>
    <row r="49" spans="1:6" s="37" customFormat="1" ht="14.25">
      <c r="A49" s="34" t="s">
        <v>45</v>
      </c>
      <c r="B49" s="18">
        <f>B50+B55</f>
        <v>90568.01</v>
      </c>
      <c r="C49" s="18">
        <f>C50+C55</f>
        <v>42171.949</v>
      </c>
      <c r="D49" s="18">
        <f>D50+D55</f>
        <v>29540.28</v>
      </c>
      <c r="E49" s="19">
        <f t="shared" si="2"/>
        <v>32.61668220379359</v>
      </c>
      <c r="F49" s="19">
        <f t="shared" si="1"/>
        <v>70.04722499308723</v>
      </c>
    </row>
    <row r="50" spans="1:6" s="37" customFormat="1" ht="15">
      <c r="A50" s="36" t="s">
        <v>43</v>
      </c>
      <c r="B50" s="25">
        <v>82568.01</v>
      </c>
      <c r="C50" s="25">
        <v>39039.249</v>
      </c>
      <c r="D50" s="25">
        <v>29274.441</v>
      </c>
      <c r="E50" s="20">
        <f t="shared" si="2"/>
        <v>35.45494314323429</v>
      </c>
      <c r="F50" s="20">
        <f t="shared" si="1"/>
        <v>74.98720326305457</v>
      </c>
    </row>
    <row r="51" spans="1:6" s="37" customFormat="1" ht="15">
      <c r="A51" s="38" t="s">
        <v>35</v>
      </c>
      <c r="B51" s="11">
        <v>50916.2</v>
      </c>
      <c r="C51" s="11">
        <v>24026.187</v>
      </c>
      <c r="D51" s="11">
        <v>18938.313</v>
      </c>
      <c r="E51" s="20">
        <f t="shared" si="2"/>
        <v>37.19506365361123</v>
      </c>
      <c r="F51" s="20">
        <f>SUM(D51)/C51*100</f>
        <v>78.82363106555358</v>
      </c>
    </row>
    <row r="52" spans="1:6" s="37" customFormat="1" ht="15">
      <c r="A52" s="38" t="s">
        <v>36</v>
      </c>
      <c r="B52" s="11">
        <v>11270.743</v>
      </c>
      <c r="C52" s="11">
        <v>5315.802</v>
      </c>
      <c r="D52" s="11">
        <v>4163.444</v>
      </c>
      <c r="E52" s="20">
        <f t="shared" si="2"/>
        <v>36.940279802316496</v>
      </c>
      <c r="F52" s="20">
        <f t="shared" si="1"/>
        <v>78.32202930056464</v>
      </c>
    </row>
    <row r="53" spans="1:6" s="37" customFormat="1" ht="30">
      <c r="A53" s="38" t="s">
        <v>39</v>
      </c>
      <c r="B53" s="11">
        <v>4798.274</v>
      </c>
      <c r="C53" s="11">
        <v>2185.256</v>
      </c>
      <c r="D53" s="11">
        <v>2067.731</v>
      </c>
      <c r="E53" s="20">
        <f t="shared" si="2"/>
        <v>43.093224772074294</v>
      </c>
      <c r="F53" s="20">
        <f t="shared" si="1"/>
        <v>94.6219115746622</v>
      </c>
    </row>
    <row r="54" spans="1:6" s="37" customFormat="1" ht="15">
      <c r="A54" s="38" t="s">
        <v>40</v>
      </c>
      <c r="B54" s="11">
        <f>SUM(B50)-B51-B52-B53</f>
        <v>15582.792999999994</v>
      </c>
      <c r="C54" s="11">
        <f>SUM(C50)-C51-C52-C53</f>
        <v>7512.004000000003</v>
      </c>
      <c r="D54" s="11">
        <f>SUM(D50)-D51-D52-D53</f>
        <v>4104.9529999999995</v>
      </c>
      <c r="E54" s="20">
        <f t="shared" si="2"/>
        <v>26.34285779192473</v>
      </c>
      <c r="F54" s="20">
        <f t="shared" si="1"/>
        <v>54.64524513032738</v>
      </c>
    </row>
    <row r="55" spans="1:6" s="37" customFormat="1" ht="15">
      <c r="A55" s="36" t="s">
        <v>41</v>
      </c>
      <c r="B55" s="25">
        <v>8000</v>
      </c>
      <c r="C55" s="25">
        <v>3132.7</v>
      </c>
      <c r="D55" s="25">
        <v>265.839</v>
      </c>
      <c r="E55" s="20">
        <f t="shared" si="2"/>
        <v>3.3229875</v>
      </c>
      <c r="F55" s="20">
        <f t="shared" si="1"/>
        <v>8.485938647173365</v>
      </c>
    </row>
    <row r="56" spans="1:6" s="37" customFormat="1" ht="28.5">
      <c r="A56" s="21" t="s">
        <v>46</v>
      </c>
      <c r="B56" s="22">
        <f>B57+B60</f>
        <v>305839.955</v>
      </c>
      <c r="C56" s="22">
        <f>C57+C60</f>
        <v>110306.231</v>
      </c>
      <c r="D56" s="22">
        <f>D57+D60</f>
        <v>47515.50000000001</v>
      </c>
      <c r="E56" s="19">
        <f t="shared" si="2"/>
        <v>15.536066894856823</v>
      </c>
      <c r="F56" s="19">
        <f t="shared" si="1"/>
        <v>43.07598906176026</v>
      </c>
    </row>
    <row r="57" spans="1:6" s="37" customFormat="1" ht="15">
      <c r="A57" s="36" t="s">
        <v>43</v>
      </c>
      <c r="B57" s="25">
        <v>179266.277</v>
      </c>
      <c r="C57" s="25">
        <v>77430.345</v>
      </c>
      <c r="D57" s="25">
        <f>41094.052+745.042</f>
        <v>41839.094000000005</v>
      </c>
      <c r="E57" s="20">
        <f t="shared" si="2"/>
        <v>23.339076763445032</v>
      </c>
      <c r="F57" s="20">
        <f t="shared" si="1"/>
        <v>54.03449254940037</v>
      </c>
    </row>
    <row r="58" spans="1:6" s="37" customFormat="1" ht="30">
      <c r="A58" s="38" t="s">
        <v>39</v>
      </c>
      <c r="B58" s="11">
        <v>20033.7</v>
      </c>
      <c r="C58" s="11">
        <v>10442.234</v>
      </c>
      <c r="D58" s="11">
        <f>8999.594+187.259</f>
        <v>9186.853</v>
      </c>
      <c r="E58" s="20">
        <f t="shared" si="2"/>
        <v>45.85699596180435</v>
      </c>
      <c r="F58" s="20">
        <f>SUM(D58)/C58*100</f>
        <v>87.97785033355888</v>
      </c>
    </row>
    <row r="59" spans="1:6" s="37" customFormat="1" ht="15">
      <c r="A59" s="38" t="s">
        <v>40</v>
      </c>
      <c r="B59" s="11">
        <f>SUM(B57)-B58</f>
        <v>159232.577</v>
      </c>
      <c r="C59" s="11">
        <f>SUM(C57)-C58</f>
        <v>66988.111</v>
      </c>
      <c r="D59" s="11">
        <f>SUM(D57)-D58</f>
        <v>32652.241000000005</v>
      </c>
      <c r="E59" s="20">
        <f t="shared" si="2"/>
        <v>20.506005501625467</v>
      </c>
      <c r="F59" s="20">
        <f t="shared" si="1"/>
        <v>48.743337455806156</v>
      </c>
    </row>
    <row r="60" spans="1:6" s="37" customFormat="1" ht="15">
      <c r="A60" s="36" t="s">
        <v>41</v>
      </c>
      <c r="B60" s="25">
        <v>126573.678</v>
      </c>
      <c r="C60" s="25">
        <f>30410.886+2465</f>
        <v>32875.886</v>
      </c>
      <c r="D60" s="25">
        <v>5676.406</v>
      </c>
      <c r="E60" s="20">
        <f t="shared" si="2"/>
        <v>4.484665445212077</v>
      </c>
      <c r="F60" s="20">
        <f t="shared" si="1"/>
        <v>17.266168887433178</v>
      </c>
    </row>
    <row r="61" spans="1:6" s="37" customFormat="1" ht="15">
      <c r="A61" s="21" t="s">
        <v>47</v>
      </c>
      <c r="B61" s="22">
        <f>SUM(B62)</f>
        <v>97307.069</v>
      </c>
      <c r="C61" s="22">
        <f>SUM(C62)</f>
        <v>32655.587</v>
      </c>
      <c r="D61" s="22">
        <f>SUM(D62)</f>
        <v>2551.593</v>
      </c>
      <c r="E61" s="20">
        <f t="shared" si="2"/>
        <v>2.6222072314191274</v>
      </c>
      <c r="F61" s="20">
        <f t="shared" si="1"/>
        <v>7.813649162086721</v>
      </c>
    </row>
    <row r="62" spans="1:6" s="37" customFormat="1" ht="15">
      <c r="A62" s="36" t="s">
        <v>41</v>
      </c>
      <c r="B62" s="25">
        <v>97307.069</v>
      </c>
      <c r="C62" s="25">
        <f>14666.272+17989.315</f>
        <v>32655.587</v>
      </c>
      <c r="D62" s="25">
        <f>1832.812+718.781</f>
        <v>2551.593</v>
      </c>
      <c r="E62" s="20">
        <f t="shared" si="2"/>
        <v>2.6222072314191274</v>
      </c>
      <c r="F62" s="20">
        <f t="shared" si="1"/>
        <v>7.813649162086721</v>
      </c>
    </row>
    <row r="63" spans="1:6" s="37" customFormat="1" ht="15">
      <c r="A63" s="40" t="s">
        <v>48</v>
      </c>
      <c r="B63" s="22">
        <f>SUM(B64:B65)</f>
        <v>192940.72999999998</v>
      </c>
      <c r="C63" s="22">
        <f>SUM(C64:C65)</f>
        <v>86916.266</v>
      </c>
      <c r="D63" s="22">
        <f>1832.812+718.781</f>
        <v>2551.593</v>
      </c>
      <c r="E63" s="19">
        <f t="shared" si="2"/>
        <v>1.3224750419468196</v>
      </c>
      <c r="F63" s="19">
        <f t="shared" si="1"/>
        <v>2.9356910017280304</v>
      </c>
    </row>
    <row r="64" spans="1:6" s="37" customFormat="1" ht="15">
      <c r="A64" s="36" t="s">
        <v>40</v>
      </c>
      <c r="B64" s="25">
        <v>82070.117</v>
      </c>
      <c r="C64" s="25">
        <v>47146.367</v>
      </c>
      <c r="D64" s="25">
        <v>30630.71</v>
      </c>
      <c r="E64" s="20">
        <f t="shared" si="2"/>
        <v>37.322610372299096</v>
      </c>
      <c r="F64" s="20">
        <f t="shared" si="1"/>
        <v>64.96939626334304</v>
      </c>
    </row>
    <row r="65" spans="1:6" s="37" customFormat="1" ht="15">
      <c r="A65" s="36" t="s">
        <v>41</v>
      </c>
      <c r="B65" s="25">
        <v>110870.613</v>
      </c>
      <c r="C65" s="25">
        <v>39769.899</v>
      </c>
      <c r="D65" s="25">
        <v>5812.726</v>
      </c>
      <c r="E65" s="20">
        <f t="shared" si="2"/>
        <v>5.242801354403984</v>
      </c>
      <c r="F65" s="20">
        <f t="shared" si="1"/>
        <v>14.615893291557015</v>
      </c>
    </row>
    <row r="66" spans="1:6" s="37" customFormat="1" ht="57">
      <c r="A66" s="41" t="s">
        <v>49</v>
      </c>
      <c r="B66" s="22">
        <f>SUM(B67:B67)</f>
        <v>6900</v>
      </c>
      <c r="C66" s="22">
        <f>SUM(C67:C67)</f>
        <v>300</v>
      </c>
      <c r="D66" s="22">
        <f>SUM(D67:D67)</f>
        <v>300</v>
      </c>
      <c r="E66" s="19">
        <f t="shared" si="2"/>
        <v>4.3478260869565215</v>
      </c>
      <c r="F66" s="19">
        <f t="shared" si="1"/>
        <v>100</v>
      </c>
    </row>
    <row r="67" spans="1:6" s="37" customFormat="1" ht="15">
      <c r="A67" s="36" t="s">
        <v>41</v>
      </c>
      <c r="B67" s="25">
        <v>6900</v>
      </c>
      <c r="C67" s="25">
        <v>300</v>
      </c>
      <c r="D67" s="25">
        <v>300</v>
      </c>
      <c r="E67" s="20">
        <f t="shared" si="2"/>
        <v>4.3478260869565215</v>
      </c>
      <c r="F67" s="20">
        <f t="shared" si="1"/>
        <v>100</v>
      </c>
    </row>
    <row r="68" spans="1:6" s="37" customFormat="1" ht="39.75" customHeight="1">
      <c r="A68" s="40" t="s">
        <v>50</v>
      </c>
      <c r="B68" s="18">
        <f>SUM(B69)+B72</f>
        <v>9526</v>
      </c>
      <c r="C68" s="18">
        <f>SUM(C69)+C72</f>
        <v>4573.131</v>
      </c>
      <c r="D68" s="18">
        <f>SUM(D69)+D72</f>
        <v>2427.039</v>
      </c>
      <c r="E68" s="19">
        <f t="shared" si="2"/>
        <v>25.478049548603828</v>
      </c>
      <c r="F68" s="19">
        <f t="shared" si="1"/>
        <v>53.07171388705025</v>
      </c>
    </row>
    <row r="69" spans="1:6" s="37" customFormat="1" ht="15">
      <c r="A69" s="36" t="s">
        <v>43</v>
      </c>
      <c r="B69" s="25">
        <v>8800.034</v>
      </c>
      <c r="C69" s="25">
        <v>4573.131</v>
      </c>
      <c r="D69" s="25">
        <v>2427.039</v>
      </c>
      <c r="E69" s="20">
        <f aca="true" t="shared" si="3" ref="E69:E90">SUM(D69)/B69*100</f>
        <v>27.57988207772834</v>
      </c>
      <c r="F69" s="20">
        <f t="shared" si="1"/>
        <v>53.07171388705025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8785.078</v>
      </c>
      <c r="C71" s="11">
        <f>SUM(C69)-C70</f>
        <v>4561.991</v>
      </c>
      <c r="D71" s="11">
        <f>SUM(D69)-D70</f>
        <v>2425.6420000000003</v>
      </c>
      <c r="E71" s="19">
        <f t="shared" si="3"/>
        <v>27.610932993423624</v>
      </c>
      <c r="F71" s="19">
        <f t="shared" si="1"/>
        <v>53.170687973737785</v>
      </c>
    </row>
    <row r="72" spans="1:6" s="37" customFormat="1" ht="15">
      <c r="A72" s="36" t="s">
        <v>41</v>
      </c>
      <c r="B72" s="25">
        <v>725.966</v>
      </c>
      <c r="C72" s="25"/>
      <c r="D72" s="25"/>
      <c r="E72" s="20">
        <f t="shared" si="3"/>
        <v>0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2470</v>
      </c>
      <c r="C73" s="18">
        <v>570</v>
      </c>
      <c r="D73" s="18"/>
      <c r="E73" s="20">
        <f t="shared" si="3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18903.6</v>
      </c>
      <c r="D74" s="18">
        <v>15753</v>
      </c>
      <c r="E74" s="20">
        <f t="shared" si="3"/>
        <v>41.667327926869916</v>
      </c>
      <c r="F74" s="20">
        <f aca="true" t="shared" si="4" ref="F74:F90">SUM(D74)/C74*100</f>
        <v>83.33333333333334</v>
      </c>
    </row>
    <row r="75" spans="1:6" s="35" customFormat="1" ht="15">
      <c r="A75" s="34" t="s">
        <v>53</v>
      </c>
      <c r="B75" s="18">
        <f>SUM(B76)+B80</f>
        <v>18652.517</v>
      </c>
      <c r="C75" s="18">
        <f>SUM(C76)+C80</f>
        <v>12983.265</v>
      </c>
      <c r="D75" s="18">
        <f>SUM(D76)+D80</f>
        <v>861.2180000000001</v>
      </c>
      <c r="E75" s="20">
        <f t="shared" si="3"/>
        <v>4.617167752748865</v>
      </c>
      <c r="F75" s="20">
        <f t="shared" si="4"/>
        <v>6.633292935174627</v>
      </c>
    </row>
    <row r="76" spans="1:6" s="35" customFormat="1" ht="15">
      <c r="A76" s="36" t="s">
        <v>43</v>
      </c>
      <c r="B76" s="25">
        <f>11714.289-51+830.938</f>
        <v>12494.227</v>
      </c>
      <c r="C76" s="25">
        <f>134+85+195.337+7948.422+32.019-636.201+1946.188</f>
        <v>9704.765</v>
      </c>
      <c r="D76" s="25">
        <f>218.769+36+53.875+653.87-572.473+15.001+15.946+29.534+90.001+103.336+122.519+94.84</f>
        <v>861.2180000000001</v>
      </c>
      <c r="E76" s="19">
        <f t="shared" si="3"/>
        <v>6.8929274296040886</v>
      </c>
      <c r="F76" s="20">
        <f t="shared" si="4"/>
        <v>8.874176757500054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7" customFormat="1" ht="15">
      <c r="A79" s="38" t="s">
        <v>40</v>
      </c>
      <c r="B79" s="11">
        <f>SUM(B76)-B77-B78</f>
        <v>12494.227</v>
      </c>
      <c r="C79" s="11">
        <f>SUM(C76)-C77-C78</f>
        <v>9704.765</v>
      </c>
      <c r="D79" s="11">
        <f>SUM(D76)-D77-D78</f>
        <v>861.2180000000001</v>
      </c>
      <c r="E79" s="20">
        <f t="shared" si="3"/>
        <v>6.8929274296040886</v>
      </c>
      <c r="F79" s="20">
        <f>SUM(D79)/C79*100</f>
        <v>8.874176757500054</v>
      </c>
    </row>
    <row r="80" spans="1:6" s="37" customFormat="1" ht="15">
      <c r="A80" s="36" t="s">
        <v>41</v>
      </c>
      <c r="B80" s="25">
        <v>6158.29</v>
      </c>
      <c r="C80" s="25">
        <f>2978.5+300</f>
        <v>3278.5</v>
      </c>
      <c r="D80" s="25"/>
      <c r="E80" s="20">
        <f t="shared" si="3"/>
        <v>0</v>
      </c>
      <c r="F80" s="20">
        <f t="shared" si="4"/>
        <v>0</v>
      </c>
    </row>
    <row r="81" spans="1:6" s="37" customFormat="1" ht="40.5">
      <c r="A81" s="42" t="s">
        <v>54</v>
      </c>
      <c r="B81" s="18">
        <f>15000+775.5-705.5</f>
        <v>15070</v>
      </c>
      <c r="C81" s="18">
        <f>15000+39.6</f>
        <v>15039.6</v>
      </c>
      <c r="D81" s="18">
        <v>8000</v>
      </c>
      <c r="E81" s="20">
        <f t="shared" si="3"/>
        <v>53.085600530856006</v>
      </c>
      <c r="F81" s="20">
        <f t="shared" si="4"/>
        <v>53.192904066597514</v>
      </c>
    </row>
    <row r="82" spans="1:11" s="46" customFormat="1" ht="15.75">
      <c r="A82" s="43" t="s">
        <v>55</v>
      </c>
      <c r="B82" s="28">
        <f>B5+B14+B23+B35+B42+B49+B56+B61+B63+B66+B68+B73+B74+B75+B81</f>
        <v>2728723.162</v>
      </c>
      <c r="C82" s="28">
        <f>C5+C14+C23+C35+C42+C49+C56+C61+C63+C66+C68+C73+C74+C75+C81</f>
        <v>1392283.2470000004</v>
      </c>
      <c r="D82" s="28">
        <f>D5+D14+D23+D35+D42+D49+D56+D61+D63+D66+D68+D73+D74+D75+D81</f>
        <v>913922.4770000001</v>
      </c>
      <c r="E82" s="20">
        <f t="shared" si="3"/>
        <v>33.49267854384123</v>
      </c>
      <c r="F82" s="20">
        <f t="shared" si="4"/>
        <v>65.64199339245513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2286234.51</v>
      </c>
      <c r="C83" s="28">
        <f>C6+C15+C24+C36+C43+C50+C57+C64+C69+C76+C74</f>
        <v>1234240.573</v>
      </c>
      <c r="D83" s="28">
        <f>D6+D15+D24+D36+D43+D50+D57+D64+D69+D76+D74</f>
        <v>916708.4230000001</v>
      </c>
      <c r="E83" s="20">
        <f t="shared" si="3"/>
        <v>40.096867534380806</v>
      </c>
      <c r="F83" s="20">
        <f t="shared" si="4"/>
        <v>74.27307471928327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5" ref="B84:D85">B7+B16+B25+B37+B44+B51+B77</f>
        <v>754676.7779999999</v>
      </c>
      <c r="C84" s="22">
        <f t="shared" si="5"/>
        <v>408632.55299999996</v>
      </c>
      <c r="D84" s="22">
        <f t="shared" si="5"/>
        <v>297586.053</v>
      </c>
      <c r="E84" s="19">
        <f t="shared" si="3"/>
        <v>39.43225254507567</v>
      </c>
      <c r="F84" s="19">
        <f t="shared" si="4"/>
        <v>72.82485225791594</v>
      </c>
    </row>
    <row r="85" spans="1:6" ht="15">
      <c r="A85" s="47" t="s">
        <v>36</v>
      </c>
      <c r="B85" s="22">
        <f t="shared" si="5"/>
        <v>166066.153</v>
      </c>
      <c r="C85" s="22">
        <f t="shared" si="5"/>
        <v>90202.699</v>
      </c>
      <c r="D85" s="22">
        <f t="shared" si="5"/>
        <v>65702.952</v>
      </c>
      <c r="E85" s="19">
        <f t="shared" si="3"/>
        <v>39.56432470619104</v>
      </c>
      <c r="F85" s="19">
        <f t="shared" si="4"/>
        <v>72.8392306753482</v>
      </c>
    </row>
    <row r="86" spans="1:6" ht="15">
      <c r="A86" s="47" t="s">
        <v>56</v>
      </c>
      <c r="B86" s="22">
        <f>B70+B11+B20+B29+B39+B46+B53+B58</f>
        <v>165680.90200000006</v>
      </c>
      <c r="C86" s="22">
        <f>C70+C11+C20+C29+C39+C46+C53+C58</f>
        <v>86280.61899999998</v>
      </c>
      <c r="D86" s="22">
        <f>D70+D11+D20+D29+D39+D46+D53+D58</f>
        <v>74776.40800000001</v>
      </c>
      <c r="E86" s="19">
        <f t="shared" si="3"/>
        <v>45.13278663825719</v>
      </c>
      <c r="F86" s="19">
        <f>SUM(D86)/C86*100</f>
        <v>86.66651777266459</v>
      </c>
    </row>
    <row r="87" spans="1:6" ht="15">
      <c r="A87" s="47" t="s">
        <v>40</v>
      </c>
      <c r="B87" s="22">
        <f>B83-B84-B85-B86</f>
        <v>1199810.677</v>
      </c>
      <c r="C87" s="22">
        <f>C83-C84-C85-C86</f>
        <v>649124.7020000002</v>
      </c>
      <c r="D87" s="22">
        <f>D83-D84-D85-D86</f>
        <v>478643.01000000007</v>
      </c>
      <c r="E87" s="19">
        <f t="shared" si="3"/>
        <v>39.893211418721194</v>
      </c>
      <c r="F87" s="19">
        <f t="shared" si="4"/>
        <v>73.73668087584193</v>
      </c>
    </row>
    <row r="88" spans="1:6" ht="15">
      <c r="A88" s="34" t="s">
        <v>41</v>
      </c>
      <c r="B88" s="18">
        <f>B13+B22+B41+B34+B55+B60+B62+B65+B67+B72+B80+B48</f>
        <v>424948.65200000006</v>
      </c>
      <c r="C88" s="18">
        <f>C13+C22+C41+C34+C55+C60+C62+C65+C67+C72+C80+C48</f>
        <v>142433.074</v>
      </c>
      <c r="D88" s="18">
        <f>D13+D22+D41+D34+D55+D60+D62+D65+D67+D72+D80+D48</f>
        <v>23105.897</v>
      </c>
      <c r="E88" s="19">
        <f t="shared" si="3"/>
        <v>5.437338579909179</v>
      </c>
      <c r="F88" s="19">
        <f t="shared" si="4"/>
        <v>16.22228345643934</v>
      </c>
    </row>
    <row r="89" spans="1:6" ht="15">
      <c r="A89" s="34" t="s">
        <v>57</v>
      </c>
      <c r="B89" s="18">
        <f>SUM(B81)</f>
        <v>15070</v>
      </c>
      <c r="C89" s="18">
        <f>SUM(C81)</f>
        <v>15039.6</v>
      </c>
      <c r="D89" s="18">
        <f>SUM(D81)</f>
        <v>8000</v>
      </c>
      <c r="E89" s="19">
        <f t="shared" si="3"/>
        <v>53.085600530856006</v>
      </c>
      <c r="F89" s="19">
        <f t="shared" si="4"/>
        <v>53.192904066597514</v>
      </c>
    </row>
    <row r="90" spans="1:6" ht="28.5">
      <c r="A90" s="34" t="s">
        <v>58</v>
      </c>
      <c r="B90" s="18">
        <f>SUM(B73)</f>
        <v>2470</v>
      </c>
      <c r="C90" s="18">
        <f>SUM(C73)</f>
        <v>570</v>
      </c>
      <c r="D90" s="18"/>
      <c r="E90" s="19">
        <f t="shared" si="3"/>
        <v>0</v>
      </c>
      <c r="F90" s="19">
        <f t="shared" si="4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2016-05-04T13:10:45Z</cp:lastPrinted>
  <dcterms:created xsi:type="dcterms:W3CDTF">2015-04-07T07:35:57Z</dcterms:created>
  <dcterms:modified xsi:type="dcterms:W3CDTF">2016-06-07T11:38:48Z</dcterms:modified>
  <cp:category/>
  <cp:version/>
  <cp:contentType/>
  <cp:contentStatus/>
</cp:coreProperties>
</file>